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firstSheet="1" activeTab="1"/>
  </bookViews>
  <sheets>
    <sheet name="Imagina Ser 65" sheetId="1" state="hidden" r:id="rId1"/>
    <sheet name="Datos" sheetId="15" r:id="rId2"/>
    <sheet name="Mi Retiro" sheetId="14" r:id="rId3"/>
  </sheets>
  <externalReferences>
    <externalReference r:id="rId4"/>
  </externalReferences>
  <definedNames>
    <definedName name="Anahuac">#REF!</definedName>
    <definedName name="_xlnm.Print_Area" localSheetId="0">'Imagina Ser 65'!$B$1:$N$60</definedName>
    <definedName name="_xlnm.Print_Area" localSheetId="2">'Mi Retiro'!$A$1:$R$31</definedName>
    <definedName name="Fila_inicio_proyecto">'[1]Datos del proyecto ordenados'!$C$4</definedName>
    <definedName name="Ibero">#REF!</definedName>
    <definedName name="IMAGEN12">INDIRECT(#REF!)</definedName>
    <definedName name="ITAM">#REF!</definedName>
    <definedName name="ITESM">#REF!</definedName>
    <definedName name="La_Salle">#REF!</definedName>
    <definedName name="TítuloDeColumna1">#REF!</definedName>
    <definedName name="Última_entrada_proyecto">'[1]Datos del proyecto ordenados'!$C$5</definedName>
    <definedName name="UNITEC">#REF!</definedName>
    <definedName name="UVM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5" l="1"/>
  <c r="E23" i="14" l="1"/>
  <c r="B23" i="14" l="1"/>
  <c r="C23" i="14" l="1"/>
  <c r="P15" i="14" l="1"/>
  <c r="C12" i="1" l="1"/>
  <c r="G10" i="14" l="1"/>
  <c r="B29" i="14"/>
  <c r="E25" i="14" s="1"/>
  <c r="C29" i="14"/>
  <c r="D29" i="14" l="1"/>
  <c r="H10" i="14" s="1"/>
  <c r="N12" i="14" l="1"/>
  <c r="E29" i="14"/>
  <c r="O13" i="14" s="1"/>
  <c r="H21" i="14" l="1"/>
  <c r="I13" i="14"/>
  <c r="P14" i="14" s="1"/>
  <c r="J19" i="14"/>
  <c r="J17" i="14"/>
  <c r="J15" i="14"/>
  <c r="J10" i="14"/>
  <c r="K37" i="1" l="1"/>
  <c r="I6" i="1" l="1"/>
  <c r="N7" i="1" l="1"/>
  <c r="J4" i="1"/>
  <c r="K45" i="1" l="1"/>
  <c r="K13" i="1"/>
  <c r="H58" i="1"/>
  <c r="K54" i="1"/>
  <c r="K53" i="1"/>
  <c r="K52" i="1"/>
  <c r="K51" i="1"/>
  <c r="K50" i="1"/>
  <c r="K49" i="1"/>
  <c r="K48" i="1"/>
  <c r="K47" i="1"/>
  <c r="K46" i="1"/>
  <c r="K17" i="1"/>
  <c r="K16" i="1"/>
  <c r="K15" i="1"/>
  <c r="K14" i="1"/>
  <c r="K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I7" i="1"/>
  <c r="B12" i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Q12" i="1"/>
  <c r="S12" i="1" s="1"/>
  <c r="X7" i="1"/>
  <c r="G12" i="1" l="1"/>
  <c r="K43" i="1"/>
  <c r="K44" i="1"/>
  <c r="A28" i="1"/>
  <c r="K42" i="1" l="1"/>
  <c r="A29" i="1"/>
  <c r="K41" i="1" l="1"/>
  <c r="A30" i="1"/>
  <c r="K40" i="1" l="1"/>
  <c r="A31" i="1"/>
  <c r="K39" i="1" l="1"/>
  <c r="A32" i="1"/>
  <c r="K38" i="1" l="1"/>
  <c r="A33" i="1"/>
  <c r="A34" i="1" l="1"/>
  <c r="K36" i="1" l="1"/>
  <c r="A35" i="1"/>
  <c r="K35" i="1" l="1"/>
  <c r="A36" i="1"/>
  <c r="K34" i="1" l="1"/>
  <c r="A37" i="1"/>
  <c r="K33" i="1" l="1"/>
  <c r="A38" i="1"/>
  <c r="K32" i="1" l="1"/>
  <c r="A39" i="1"/>
  <c r="K31" i="1" l="1"/>
  <c r="A40" i="1"/>
  <c r="K30" i="1" l="1"/>
  <c r="A41" i="1"/>
  <c r="K29" i="1" l="1"/>
  <c r="A42" i="1"/>
  <c r="K28" i="1" l="1"/>
  <c r="A43" i="1"/>
  <c r="K27" i="1" l="1"/>
  <c r="A44" i="1"/>
  <c r="K26" i="1" l="1"/>
  <c r="A45" i="1"/>
  <c r="K25" i="1" l="1"/>
  <c r="A46" i="1"/>
  <c r="K24" i="1" l="1"/>
  <c r="A47" i="1"/>
  <c r="K23" i="1" l="1"/>
  <c r="A48" i="1"/>
  <c r="K22" i="1" l="1"/>
  <c r="A49" i="1"/>
  <c r="K21" i="1" l="1"/>
  <c r="A50" i="1"/>
  <c r="K20" i="1" l="1"/>
  <c r="A51" i="1"/>
  <c r="K18" i="1" l="1"/>
  <c r="K19" i="1"/>
  <c r="A52" i="1"/>
  <c r="A53" i="1" l="1"/>
  <c r="A54" i="1" l="1"/>
  <c r="P16" i="14" l="1"/>
  <c r="V12" i="1" l="1"/>
  <c r="W12" i="1"/>
  <c r="P17" i="14" l="1"/>
  <c r="X12" i="1"/>
  <c r="I21" i="14" l="1"/>
  <c r="J21" i="14" s="1"/>
  <c r="L12" i="1"/>
  <c r="X13" i="1"/>
  <c r="I12" i="1"/>
  <c r="N12" i="1" l="1"/>
  <c r="X14" i="1"/>
  <c r="H12" i="1"/>
  <c r="L13" i="1"/>
  <c r="L14" i="1" l="1"/>
  <c r="X15" i="1"/>
  <c r="X16" i="1" l="1"/>
  <c r="L15" i="1"/>
  <c r="X17" i="1" l="1"/>
  <c r="L16" i="1"/>
  <c r="X18" i="1" l="1"/>
  <c r="L17" i="1"/>
  <c r="X19" i="1" l="1"/>
  <c r="L18" i="1"/>
  <c r="X20" i="1" l="1"/>
  <c r="L19" i="1"/>
  <c r="X21" i="1" l="1"/>
  <c r="L20" i="1"/>
  <c r="X22" i="1" l="1"/>
  <c r="L21" i="1"/>
  <c r="L22" i="1" l="1"/>
  <c r="X23" i="1"/>
  <c r="X24" i="1" l="1"/>
  <c r="L23" i="1"/>
  <c r="X25" i="1" l="1"/>
  <c r="L24" i="1"/>
  <c r="J7" i="1"/>
  <c r="J6" i="1"/>
  <c r="X26" i="1" l="1"/>
  <c r="L25" i="1" l="1"/>
  <c r="X27" i="1"/>
  <c r="L26" i="1"/>
  <c r="X28" i="1" l="1"/>
  <c r="L27" i="1"/>
  <c r="X29" i="1" l="1"/>
  <c r="L28" i="1"/>
  <c r="X30" i="1" l="1"/>
  <c r="L29" i="1"/>
  <c r="X31" i="1" l="1"/>
  <c r="L30" i="1"/>
  <c r="X32" i="1" l="1"/>
  <c r="L31" i="1"/>
  <c r="X33" i="1" l="1"/>
  <c r="L32" i="1"/>
  <c r="F12" i="1"/>
  <c r="X34" i="1" l="1"/>
  <c r="L33" i="1"/>
  <c r="K7" i="1"/>
  <c r="K6" i="1"/>
  <c r="X35" i="1" l="1"/>
  <c r="L34" i="1"/>
  <c r="L6" i="1"/>
  <c r="X36" i="1" l="1"/>
  <c r="L35" i="1"/>
  <c r="X37" i="1" l="1"/>
  <c r="L36" i="1"/>
  <c r="J12" i="1"/>
  <c r="M12" i="1" s="1"/>
  <c r="L37" i="1" l="1"/>
  <c r="X38" i="1"/>
  <c r="C13" i="1"/>
  <c r="Q13" i="1" l="1"/>
  <c r="S13" i="1" s="1"/>
  <c r="G13" i="1"/>
  <c r="D13" i="1"/>
  <c r="F13" i="1" s="1"/>
  <c r="B13" i="1"/>
  <c r="L38" i="1"/>
  <c r="X39" i="1"/>
  <c r="W13" i="1"/>
  <c r="C14" i="1"/>
  <c r="Q14" i="1" l="1"/>
  <c r="S14" i="1" s="1"/>
  <c r="G14" i="1"/>
  <c r="B14" i="1"/>
  <c r="V13" i="1"/>
  <c r="W14" i="1"/>
  <c r="D14" i="1"/>
  <c r="F14" i="1" s="1"/>
  <c r="I13" i="1"/>
  <c r="X40" i="1"/>
  <c r="L39" i="1"/>
  <c r="C15" i="1"/>
  <c r="Q15" i="1" l="1"/>
  <c r="S15" i="1" s="1"/>
  <c r="G15" i="1"/>
  <c r="I14" i="1"/>
  <c r="N14" i="1" s="1"/>
  <c r="D15" i="1"/>
  <c r="F15" i="1" s="1"/>
  <c r="N13" i="1"/>
  <c r="H13" i="1"/>
  <c r="J13" i="1"/>
  <c r="B15" i="1"/>
  <c r="V14" i="1"/>
  <c r="L40" i="1"/>
  <c r="X41" i="1"/>
  <c r="L41" i="1" s="1"/>
  <c r="W15" i="1"/>
  <c r="C16" i="1"/>
  <c r="G16" i="1" s="1"/>
  <c r="H14" i="1" l="1"/>
  <c r="I15" i="1"/>
  <c r="H15" i="1" s="1"/>
  <c r="Q16" i="1"/>
  <c r="S16" i="1" s="1"/>
  <c r="B16" i="1"/>
  <c r="V15" i="1"/>
  <c r="M13" i="1"/>
  <c r="J14" i="1"/>
  <c r="D16" i="1"/>
  <c r="X42" i="1"/>
  <c r="W16" i="1"/>
  <c r="C17" i="1"/>
  <c r="G17" i="1" s="1"/>
  <c r="N15" i="1" l="1"/>
  <c r="Q17" i="1"/>
  <c r="S17" i="1" s="1"/>
  <c r="D17" i="1"/>
  <c r="F17" i="1" s="1"/>
  <c r="F16" i="1"/>
  <c r="M14" i="1"/>
  <c r="J15" i="1"/>
  <c r="I16" i="1"/>
  <c r="B17" i="1"/>
  <c r="V16" i="1"/>
  <c r="X43" i="1"/>
  <c r="L42" i="1"/>
  <c r="W17" i="1"/>
  <c r="C18" i="1"/>
  <c r="G18" i="1" s="1"/>
  <c r="I17" i="1" l="1"/>
  <c r="N17" i="1" s="1"/>
  <c r="Q18" i="1"/>
  <c r="S18" i="1" s="1"/>
  <c r="M15" i="1"/>
  <c r="J16" i="1"/>
  <c r="M16" i="1" s="1"/>
  <c r="B18" i="1"/>
  <c r="V17" i="1"/>
  <c r="H16" i="1"/>
  <c r="N16" i="1"/>
  <c r="D18" i="1"/>
  <c r="F18" i="1" s="1"/>
  <c r="X44" i="1"/>
  <c r="L43" i="1"/>
  <c r="W18" i="1"/>
  <c r="C19" i="1"/>
  <c r="G19" i="1" s="1"/>
  <c r="H17" i="1" l="1"/>
  <c r="J17" i="1"/>
  <c r="M17" i="1" s="1"/>
  <c r="Q19" i="1"/>
  <c r="S19" i="1" s="1"/>
  <c r="D19" i="1"/>
  <c r="B19" i="1"/>
  <c r="V18" i="1"/>
  <c r="I18" i="1"/>
  <c r="L44" i="1"/>
  <c r="X45" i="1"/>
  <c r="W19" i="1"/>
  <c r="C20" i="1"/>
  <c r="G20" i="1" s="1"/>
  <c r="Q20" i="1" l="1"/>
  <c r="S20" i="1" s="1"/>
  <c r="B20" i="1"/>
  <c r="V19" i="1"/>
  <c r="H18" i="1"/>
  <c r="N18" i="1"/>
  <c r="D20" i="1"/>
  <c r="F20" i="1" s="1"/>
  <c r="F19" i="1"/>
  <c r="I19" i="1"/>
  <c r="J18" i="1"/>
  <c r="M18" i="1" s="1"/>
  <c r="X46" i="1"/>
  <c r="L45" i="1"/>
  <c r="W20" i="1"/>
  <c r="C21" i="1"/>
  <c r="G21" i="1" s="1"/>
  <c r="Q21" i="1" l="1"/>
  <c r="S21" i="1" s="1"/>
  <c r="N19" i="1"/>
  <c r="H19" i="1"/>
  <c r="J19" i="1"/>
  <c r="D21" i="1"/>
  <c r="B21" i="1"/>
  <c r="V20" i="1"/>
  <c r="I20" i="1"/>
  <c r="L46" i="1"/>
  <c r="X47" i="1"/>
  <c r="W21" i="1"/>
  <c r="C22" i="1"/>
  <c r="G22" i="1" s="1"/>
  <c r="M19" i="1" l="1"/>
  <c r="J20" i="1"/>
  <c r="M20" i="1" s="1"/>
  <c r="Q22" i="1"/>
  <c r="S22" i="1" s="1"/>
  <c r="I21" i="1"/>
  <c r="N21" i="1" s="1"/>
  <c r="N20" i="1"/>
  <c r="H20" i="1"/>
  <c r="B22" i="1"/>
  <c r="V21" i="1"/>
  <c r="D22" i="1"/>
  <c r="F21" i="1"/>
  <c r="X48" i="1"/>
  <c r="L47" i="1"/>
  <c r="C23" i="1"/>
  <c r="G23" i="1" s="1"/>
  <c r="W22" i="1"/>
  <c r="H21" i="1" l="1"/>
  <c r="J21" i="1"/>
  <c r="M21" i="1" s="1"/>
  <c r="Q23" i="1"/>
  <c r="S23" i="1" s="1"/>
  <c r="D23" i="1"/>
  <c r="F22" i="1"/>
  <c r="I22" i="1"/>
  <c r="B23" i="1"/>
  <c r="V22" i="1"/>
  <c r="L48" i="1"/>
  <c r="X49" i="1"/>
  <c r="X50" i="1" s="1"/>
  <c r="W23" i="1"/>
  <c r="C24" i="1"/>
  <c r="G24" i="1" s="1"/>
  <c r="J22" i="1" l="1"/>
  <c r="M22" i="1" s="1"/>
  <c r="I23" i="1"/>
  <c r="H23" i="1" s="1"/>
  <c r="Q24" i="1"/>
  <c r="S24" i="1" s="1"/>
  <c r="H22" i="1"/>
  <c r="N22" i="1"/>
  <c r="B24" i="1"/>
  <c r="V23" i="1"/>
  <c r="D24" i="1"/>
  <c r="F23" i="1"/>
  <c r="X51" i="1"/>
  <c r="L50" i="1"/>
  <c r="X54" i="1"/>
  <c r="L49" i="1"/>
  <c r="W24" i="1"/>
  <c r="C25" i="1"/>
  <c r="G25" i="1" s="1"/>
  <c r="J23" i="1" l="1"/>
  <c r="M23" i="1" s="1"/>
  <c r="N23" i="1"/>
  <c r="Q25" i="1"/>
  <c r="S25" i="1" s="1"/>
  <c r="D25" i="1"/>
  <c r="F24" i="1"/>
  <c r="B25" i="1"/>
  <c r="V24" i="1"/>
  <c r="I24" i="1"/>
  <c r="L51" i="1"/>
  <c r="X52" i="1"/>
  <c r="L54" i="1"/>
  <c r="W25" i="1"/>
  <c r="C26" i="1"/>
  <c r="G26" i="1" s="1"/>
  <c r="J24" i="1" l="1"/>
  <c r="M24" i="1" s="1"/>
  <c r="I25" i="1"/>
  <c r="N25" i="1" s="1"/>
  <c r="Q26" i="1"/>
  <c r="S26" i="1" s="1"/>
  <c r="B26" i="1"/>
  <c r="V25" i="1"/>
  <c r="N24" i="1"/>
  <c r="H24" i="1"/>
  <c r="D26" i="1"/>
  <c r="F25" i="1"/>
  <c r="L52" i="1"/>
  <c r="X53" i="1"/>
  <c r="C27" i="1"/>
  <c r="W26" i="1"/>
  <c r="H25" i="1" l="1"/>
  <c r="J25" i="1"/>
  <c r="M25" i="1" s="1"/>
  <c r="Q27" i="1"/>
  <c r="S27" i="1" s="1"/>
  <c r="G27" i="1"/>
  <c r="D27" i="1"/>
  <c r="F26" i="1"/>
  <c r="I26" i="1"/>
  <c r="B27" i="1"/>
  <c r="V26" i="1"/>
  <c r="L53" i="1"/>
  <c r="W27" i="1"/>
  <c r="C28" i="1"/>
  <c r="J26" i="1" l="1"/>
  <c r="M26" i="1" s="1"/>
  <c r="Q28" i="1"/>
  <c r="S28" i="1" s="1"/>
  <c r="G28" i="1"/>
  <c r="B28" i="1"/>
  <c r="V27" i="1"/>
  <c r="N26" i="1"/>
  <c r="H26" i="1"/>
  <c r="D28" i="1"/>
  <c r="F27" i="1"/>
  <c r="I27" i="1"/>
  <c r="W28" i="1"/>
  <c r="C29" i="1"/>
  <c r="G29" i="1" s="1"/>
  <c r="J27" i="1" l="1"/>
  <c r="M27" i="1" s="1"/>
  <c r="C30" i="1"/>
  <c r="Q29" i="1"/>
  <c r="S29" i="1" s="1"/>
  <c r="N27" i="1"/>
  <c r="H27" i="1"/>
  <c r="D29" i="1"/>
  <c r="F28" i="1"/>
  <c r="I28" i="1"/>
  <c r="B29" i="1"/>
  <c r="V28" i="1"/>
  <c r="W29" i="1"/>
  <c r="J28" i="1" l="1"/>
  <c r="M28" i="1" s="1"/>
  <c r="Q30" i="1"/>
  <c r="S30" i="1" s="1"/>
  <c r="G30" i="1"/>
  <c r="W30" i="1"/>
  <c r="C31" i="1"/>
  <c r="D30" i="1"/>
  <c r="F29" i="1"/>
  <c r="I29" i="1"/>
  <c r="B30" i="1"/>
  <c r="V29" i="1"/>
  <c r="N28" i="1"/>
  <c r="H28" i="1"/>
  <c r="C32" i="1"/>
  <c r="Q32" i="1" l="1"/>
  <c r="S32" i="1" s="1"/>
  <c r="G32" i="1"/>
  <c r="J29" i="1"/>
  <c r="M29" i="1" s="1"/>
  <c r="Q31" i="1"/>
  <c r="S31" i="1" s="1"/>
  <c r="G31" i="1"/>
  <c r="W31" i="1"/>
  <c r="B31" i="1"/>
  <c r="V31" i="1" s="1"/>
  <c r="V30" i="1"/>
  <c r="N29" i="1"/>
  <c r="H29" i="1"/>
  <c r="D31" i="1"/>
  <c r="D32" i="1" s="1"/>
  <c r="F30" i="1"/>
  <c r="I30" i="1"/>
  <c r="W32" i="1"/>
  <c r="C33" i="1"/>
  <c r="Q33" i="1" l="1"/>
  <c r="S33" i="1" s="1"/>
  <c r="G33" i="1"/>
  <c r="J30" i="1"/>
  <c r="M30" i="1" s="1"/>
  <c r="B32" i="1"/>
  <c r="V32" i="1" s="1"/>
  <c r="I31" i="1"/>
  <c r="F31" i="1"/>
  <c r="D33" i="1"/>
  <c r="H30" i="1"/>
  <c r="N30" i="1"/>
  <c r="I32" i="1"/>
  <c r="F32" i="1"/>
  <c r="C34" i="1"/>
  <c r="W33" i="1"/>
  <c r="Q34" i="1" l="1"/>
  <c r="S34" i="1" s="1"/>
  <c r="G34" i="1"/>
  <c r="J31" i="1"/>
  <c r="M31" i="1" s="1"/>
  <c r="B33" i="1"/>
  <c r="V33" i="1" s="1"/>
  <c r="N32" i="1"/>
  <c r="H32" i="1"/>
  <c r="D34" i="1"/>
  <c r="N31" i="1"/>
  <c r="H31" i="1"/>
  <c r="F33" i="1"/>
  <c r="I33" i="1"/>
  <c r="W34" i="1"/>
  <c r="C35" i="1"/>
  <c r="Q35" i="1" l="1"/>
  <c r="S35" i="1" s="1"/>
  <c r="G35" i="1"/>
  <c r="J32" i="1"/>
  <c r="M32" i="1" s="1"/>
  <c r="B34" i="1"/>
  <c r="V34" i="1" s="1"/>
  <c r="N33" i="1"/>
  <c r="H33" i="1"/>
  <c r="F34" i="1"/>
  <c r="I34" i="1"/>
  <c r="D35" i="1"/>
  <c r="W35" i="1"/>
  <c r="C36" i="1"/>
  <c r="Q36" i="1" l="1"/>
  <c r="S36" i="1" s="1"/>
  <c r="G36" i="1"/>
  <c r="J33" i="1"/>
  <c r="M33" i="1" s="1"/>
  <c r="B35" i="1"/>
  <c r="V35" i="1" s="1"/>
  <c r="N34" i="1"/>
  <c r="H34" i="1"/>
  <c r="C37" i="1"/>
  <c r="D36" i="1"/>
  <c r="I35" i="1"/>
  <c r="F35" i="1"/>
  <c r="W36" i="1"/>
  <c r="Q37" i="1" l="1"/>
  <c r="S37" i="1" s="1"/>
  <c r="G37" i="1"/>
  <c r="J34" i="1"/>
  <c r="J35" i="1" s="1"/>
  <c r="M35" i="1" s="1"/>
  <c r="B36" i="1"/>
  <c r="V36" i="1" s="1"/>
  <c r="W37" i="1"/>
  <c r="D37" i="1"/>
  <c r="C38" i="1"/>
  <c r="N35" i="1"/>
  <c r="H35" i="1"/>
  <c r="F36" i="1"/>
  <c r="I36" i="1"/>
  <c r="Q38" i="1" l="1"/>
  <c r="S38" i="1" s="1"/>
  <c r="G38" i="1"/>
  <c r="M34" i="1"/>
  <c r="B37" i="1"/>
  <c r="V37" i="1" s="1"/>
  <c r="W38" i="1"/>
  <c r="J36" i="1"/>
  <c r="M36" i="1" s="1"/>
  <c r="C39" i="1"/>
  <c r="N36" i="1"/>
  <c r="H36" i="1"/>
  <c r="D38" i="1"/>
  <c r="F37" i="1"/>
  <c r="I37" i="1"/>
  <c r="Q39" i="1" l="1"/>
  <c r="S39" i="1" s="1"/>
  <c r="G39" i="1"/>
  <c r="B38" i="1"/>
  <c r="V38" i="1" s="1"/>
  <c r="C40" i="1"/>
  <c r="W40" i="1" s="1"/>
  <c r="W39" i="1"/>
  <c r="D39" i="1"/>
  <c r="N37" i="1"/>
  <c r="H37" i="1"/>
  <c r="F38" i="1"/>
  <c r="I38" i="1"/>
  <c r="J37" i="1"/>
  <c r="C41" i="1"/>
  <c r="Q41" i="1" l="1"/>
  <c r="S41" i="1" s="1"/>
  <c r="G41" i="1"/>
  <c r="Q40" i="1"/>
  <c r="S40" i="1" s="1"/>
  <c r="G40" i="1"/>
  <c r="D40" i="1"/>
  <c r="F40" i="1" s="1"/>
  <c r="B39" i="1"/>
  <c r="V39" i="1" s="1"/>
  <c r="F39" i="1"/>
  <c r="I39" i="1"/>
  <c r="H39" i="1" s="1"/>
  <c r="D41" i="1"/>
  <c r="N38" i="1"/>
  <c r="H38" i="1"/>
  <c r="J38" i="1"/>
  <c r="M37" i="1"/>
  <c r="C42" i="1"/>
  <c r="W41" i="1"/>
  <c r="I40" i="1" l="1"/>
  <c r="N40" i="1" s="1"/>
  <c r="Q42" i="1"/>
  <c r="S42" i="1" s="1"/>
  <c r="G42" i="1"/>
  <c r="B40" i="1"/>
  <c r="V40" i="1" s="1"/>
  <c r="N39" i="1"/>
  <c r="C43" i="1"/>
  <c r="G43" i="1" s="1"/>
  <c r="D42" i="1"/>
  <c r="F41" i="1"/>
  <c r="I41" i="1"/>
  <c r="M38" i="1"/>
  <c r="J39" i="1"/>
  <c r="W42" i="1"/>
  <c r="H40" i="1" l="1"/>
  <c r="B41" i="1"/>
  <c r="V41" i="1" s="1"/>
  <c r="W43" i="1"/>
  <c r="Q43" i="1"/>
  <c r="S43" i="1" s="1"/>
  <c r="C44" i="1"/>
  <c r="N41" i="1"/>
  <c r="H41" i="1"/>
  <c r="D43" i="1"/>
  <c r="J40" i="1"/>
  <c r="M39" i="1"/>
  <c r="F42" i="1"/>
  <c r="I42" i="1"/>
  <c r="Q44" i="1" l="1"/>
  <c r="S44" i="1" s="1"/>
  <c r="G44" i="1"/>
  <c r="B42" i="1"/>
  <c r="V42" i="1" s="1"/>
  <c r="D44" i="1"/>
  <c r="F44" i="1" s="1"/>
  <c r="C45" i="1"/>
  <c r="W44" i="1"/>
  <c r="N42" i="1"/>
  <c r="H42" i="1"/>
  <c r="M40" i="1"/>
  <c r="J41" i="1"/>
  <c r="J42" i="1" s="1"/>
  <c r="M42" i="1" s="1"/>
  <c r="F43" i="1"/>
  <c r="I43" i="1"/>
  <c r="Q45" i="1" l="1"/>
  <c r="S45" i="1" s="1"/>
  <c r="G45" i="1"/>
  <c r="I44" i="1"/>
  <c r="N44" i="1" s="1"/>
  <c r="B43" i="1"/>
  <c r="V43" i="1" s="1"/>
  <c r="W45" i="1"/>
  <c r="C46" i="1"/>
  <c r="D45" i="1"/>
  <c r="F45" i="1" s="1"/>
  <c r="N43" i="1"/>
  <c r="H43" i="1"/>
  <c r="J43" i="1"/>
  <c r="H44" i="1" l="1"/>
  <c r="Q46" i="1"/>
  <c r="S46" i="1" s="1"/>
  <c r="G46" i="1"/>
  <c r="W46" i="1"/>
  <c r="B44" i="1"/>
  <c r="B45" i="1" s="1"/>
  <c r="D46" i="1"/>
  <c r="C47" i="1"/>
  <c r="W47" i="1" s="1"/>
  <c r="I45" i="1"/>
  <c r="N45" i="1" s="1"/>
  <c r="M43" i="1"/>
  <c r="J44" i="1"/>
  <c r="Q47" i="1" l="1"/>
  <c r="S47" i="1" s="1"/>
  <c r="G47" i="1"/>
  <c r="I46" i="1"/>
  <c r="N46" i="1" s="1"/>
  <c r="C48" i="1"/>
  <c r="W48" i="1" s="1"/>
  <c r="D47" i="1"/>
  <c r="F47" i="1" s="1"/>
  <c r="F46" i="1"/>
  <c r="V44" i="1"/>
  <c r="H45" i="1"/>
  <c r="V45" i="1"/>
  <c r="B46" i="1"/>
  <c r="J45" i="1"/>
  <c r="M44" i="1"/>
  <c r="C49" i="1" l="1"/>
  <c r="Q49" i="1" s="1"/>
  <c r="S49" i="1" s="1"/>
  <c r="D48" i="1"/>
  <c r="F48" i="1" s="1"/>
  <c r="H46" i="1"/>
  <c r="Q48" i="1"/>
  <c r="S48" i="1" s="1"/>
  <c r="G48" i="1"/>
  <c r="G49" i="1"/>
  <c r="I47" i="1"/>
  <c r="H47" i="1" s="1"/>
  <c r="V46" i="1"/>
  <c r="B47" i="1"/>
  <c r="C50" i="1"/>
  <c r="J46" i="1"/>
  <c r="M45" i="1"/>
  <c r="W49" i="1" l="1"/>
  <c r="D49" i="1"/>
  <c r="I48" i="1"/>
  <c r="H48" i="1" s="1"/>
  <c r="N47" i="1"/>
  <c r="Q50" i="1"/>
  <c r="S50" i="1" s="1"/>
  <c r="G50" i="1"/>
  <c r="V47" i="1"/>
  <c r="B48" i="1"/>
  <c r="W50" i="1"/>
  <c r="C51" i="1"/>
  <c r="W51" i="1" s="1"/>
  <c r="F49" i="1"/>
  <c r="I49" i="1"/>
  <c r="J47" i="1"/>
  <c r="M46" i="1"/>
  <c r="D50" i="1"/>
  <c r="N48" i="1" l="1"/>
  <c r="Q51" i="1"/>
  <c r="S51" i="1" s="1"/>
  <c r="G51" i="1"/>
  <c r="V48" i="1"/>
  <c r="B49" i="1"/>
  <c r="D51" i="1"/>
  <c r="C52" i="1"/>
  <c r="I50" i="1"/>
  <c r="F50" i="1"/>
  <c r="H49" i="1"/>
  <c r="N49" i="1"/>
  <c r="J48" i="1"/>
  <c r="M47" i="1"/>
  <c r="Q52" i="1" l="1"/>
  <c r="S52" i="1" s="1"/>
  <c r="G52" i="1"/>
  <c r="I51" i="1"/>
  <c r="N51" i="1" s="1"/>
  <c r="F51" i="1"/>
  <c r="D52" i="1"/>
  <c r="F52" i="1" s="1"/>
  <c r="V49" i="1"/>
  <c r="B50" i="1"/>
  <c r="W52" i="1"/>
  <c r="C53" i="1"/>
  <c r="J49" i="1"/>
  <c r="M48" i="1"/>
  <c r="N50" i="1"/>
  <c r="H50" i="1"/>
  <c r="H51" i="1" l="1"/>
  <c r="Q53" i="1"/>
  <c r="S53" i="1" s="1"/>
  <c r="G53" i="1"/>
  <c r="I52" i="1"/>
  <c r="N52" i="1" s="1"/>
  <c r="C54" i="1"/>
  <c r="G54" i="1" s="1"/>
  <c r="W53" i="1"/>
  <c r="V50" i="1"/>
  <c r="B51" i="1"/>
  <c r="N57" i="1"/>
  <c r="D53" i="1"/>
  <c r="N58" i="1"/>
  <c r="J50" i="1"/>
  <c r="M49" i="1"/>
  <c r="M41" i="1"/>
  <c r="H52" i="1" l="1"/>
  <c r="N60" i="1"/>
  <c r="Q54" i="1"/>
  <c r="S54" i="1" s="1"/>
  <c r="W54" i="1"/>
  <c r="D54" i="1"/>
  <c r="I54" i="1" s="1"/>
  <c r="N59" i="1"/>
  <c r="V51" i="1"/>
  <c r="B52" i="1"/>
  <c r="F53" i="1"/>
  <c r="I53" i="1"/>
  <c r="H53" i="1" s="1"/>
  <c r="J51" i="1"/>
  <c r="M50" i="1"/>
  <c r="F54" i="1" l="1"/>
  <c r="N53" i="1"/>
  <c r="V52" i="1"/>
  <c r="B53" i="1"/>
  <c r="M51" i="1"/>
  <c r="J52" i="1"/>
  <c r="N54" i="1"/>
  <c r="H54" i="1"/>
  <c r="J54" i="1"/>
  <c r="M54" i="1" s="1"/>
  <c r="V53" i="1" l="1"/>
  <c r="B54" i="1"/>
  <c r="V54" i="1" s="1"/>
  <c r="J53" i="1"/>
  <c r="M53" i="1" s="1"/>
  <c r="M52" i="1"/>
  <c r="J24" i="14"/>
  <c r="H24" i="14" l="1"/>
</calcChain>
</file>

<file path=xl/sharedStrings.xml><?xml version="1.0" encoding="utf-8"?>
<sst xmlns="http://schemas.openxmlformats.org/spreadsheetml/2006/main" count="147" uniqueCount="129">
  <si>
    <t>Año</t>
  </si>
  <si>
    <t>Edad</t>
  </si>
  <si>
    <t>Suma Asegurada</t>
  </si>
  <si>
    <t>Valor UDI</t>
  </si>
  <si>
    <t>UDI</t>
  </si>
  <si>
    <t>PESOS</t>
  </si>
  <si>
    <t>COFIP</t>
  </si>
  <si>
    <t>Consultoría Financiera Personalizada, S.C.</t>
  </si>
  <si>
    <t>Asesor:</t>
  </si>
  <si>
    <t>Aportación Anual</t>
  </si>
  <si>
    <t>Paseo de la Reforma 342 Piso 18 Col. Juarez 06500, Ciudad de México. Tel. 55 3733 9971</t>
  </si>
  <si>
    <t>%</t>
  </si>
  <si>
    <t>Anual</t>
  </si>
  <si>
    <t>Efectivo Disponible</t>
  </si>
  <si>
    <t>UDIS</t>
  </si>
  <si>
    <t>Mensual</t>
  </si>
  <si>
    <t>Total Mes</t>
  </si>
  <si>
    <t>Tabla de Valores</t>
  </si>
  <si>
    <t>AVE LP</t>
  </si>
  <si>
    <t>Rendimiento</t>
  </si>
  <si>
    <t>Aportación</t>
  </si>
  <si>
    <t>MENSUAL</t>
  </si>
  <si>
    <t>Edad de Retiro</t>
  </si>
  <si>
    <t>#</t>
  </si>
  <si>
    <t>Mi Retiro</t>
  </si>
  <si>
    <t>Edad Actual</t>
  </si>
  <si>
    <t>Ganancia</t>
  </si>
  <si>
    <t>Inflación Estimada</t>
  </si>
  <si>
    <t>ACUMULADO</t>
  </si>
  <si>
    <t>DEDUCIBLE</t>
  </si>
  <si>
    <t>Mi Meta de Ahorro</t>
  </si>
  <si>
    <t>S.A</t>
  </si>
  <si>
    <t>Pagos Limitados</t>
  </si>
  <si>
    <t>Datos</t>
  </si>
  <si>
    <t>OCULTAR</t>
  </si>
  <si>
    <t>FONDO IMAGINA SER</t>
  </si>
  <si>
    <t>PB ANUAL</t>
  </si>
  <si>
    <t>PP ANUAL</t>
  </si>
  <si>
    <t>Manuel de los Santos</t>
  </si>
  <si>
    <t>Planeada</t>
  </si>
  <si>
    <t>Básica</t>
  </si>
  <si>
    <t>Nombre del Cliente</t>
  </si>
  <si>
    <t>sabado</t>
  </si>
  <si>
    <t>Novio</t>
  </si>
  <si>
    <t>Mariana miravete</t>
  </si>
  <si>
    <t>Mike</t>
  </si>
  <si>
    <t>Saul</t>
  </si>
  <si>
    <t>Richard</t>
  </si>
  <si>
    <t>Jaime Bernal</t>
  </si>
  <si>
    <t>Illaly</t>
  </si>
  <si>
    <t>Gober</t>
  </si>
  <si>
    <t>Esposa Gober</t>
  </si>
  <si>
    <t>Areli</t>
  </si>
  <si>
    <t>Alejandro mendoza</t>
  </si>
  <si>
    <t>Mijail</t>
  </si>
  <si>
    <t>Ali</t>
  </si>
  <si>
    <t>Betty Ali</t>
  </si>
  <si>
    <t>Nogueda</t>
  </si>
  <si>
    <t>Daniel Valeriano</t>
  </si>
  <si>
    <t>Jueves</t>
  </si>
  <si>
    <t xml:space="preserve">Julio </t>
  </si>
  <si>
    <t>Gaby</t>
  </si>
  <si>
    <t>Diego</t>
  </si>
  <si>
    <t>Juanito</t>
  </si>
  <si>
    <t>Vero Galvan</t>
  </si>
  <si>
    <t>Luis Dominguez</t>
  </si>
  <si>
    <t>Ibeangy</t>
  </si>
  <si>
    <t>Lourdes Nestle</t>
  </si>
  <si>
    <t>Illaly Nestle</t>
  </si>
  <si>
    <t>Rosita Fatima</t>
  </si>
  <si>
    <t>Ivonne Tonivisa</t>
  </si>
  <si>
    <t>Norma</t>
  </si>
  <si>
    <t>Afore</t>
  </si>
  <si>
    <t>Salario Deseado de Pensión</t>
  </si>
  <si>
    <t>Estimación de Vida</t>
  </si>
  <si>
    <t>Cobertura</t>
  </si>
  <si>
    <t>PPP (Prestación)</t>
  </si>
  <si>
    <t>Otros Instrumentos</t>
  </si>
  <si>
    <t>PPR Seg. Monterrey</t>
  </si>
  <si>
    <t>Ingreso Mensual para Retiro</t>
  </si>
  <si>
    <t>Totales</t>
  </si>
  <si>
    <t>Tiempo de Ahorro</t>
  </si>
  <si>
    <t>Esperanza de Vida</t>
  </si>
  <si>
    <t>Mi META de
Ahorro</t>
  </si>
  <si>
    <t>Meta CONSAR al 70%</t>
  </si>
  <si>
    <t>PPR: Plan Personal de Retiro. Considerado como seguro particular y Deducible de impuestos.</t>
  </si>
  <si>
    <t>Tasa de Reemplazo</t>
  </si>
  <si>
    <t>DIEGO DELMAR CAMARENA</t>
  </si>
  <si>
    <t>PISO</t>
  </si>
  <si>
    <t>TECHO</t>
  </si>
  <si>
    <t>META</t>
  </si>
  <si>
    <t>FECHA DE NACIMIENTO</t>
  </si>
  <si>
    <t>MAURICIO TORRIJOS</t>
  </si>
  <si>
    <t>ALVARO RODRIGUEZ PORTILLA</t>
  </si>
  <si>
    <t>AHORRAR AL AÑO O DOS AÑOS 100 MIL PESOS, NO QUIERES MATARTE CON UNA DEUDA</t>
  </si>
  <si>
    <t>10 MIL PESOS MENSUALES DE UNO A DOS AÑOS</t>
  </si>
  <si>
    <t>2 MIL PESOS MENSUALES PARA LARGO PLAZO</t>
  </si>
  <si>
    <t>CUIDADO TEMA CON LOS PLAZOZ O MONTOS FORZOSOS</t>
  </si>
  <si>
    <t>SAULA PORTILLA HERNANDEZ</t>
  </si>
  <si>
    <t>Alvaro Rodriguez</t>
  </si>
  <si>
    <t>Se define la tasa de reemplazo como el porcentaje de ingresos en la jubilación respecto a los ingresos previos como trabajadores en activo. En México el sistema público de previsión está exclusivamente definido en las cotizaciones obligatorias a la Seguridad Social, por lo que podemos aproximar esta tasa al porcentaje de ingresos previos a la jubilación que cubre la pensión pública.
Es decir, la tasa de reemplazo nos dará una medida de la pérdida de poder adquisitivo que vamos a sufrir en el tránsito a la situación como jubilados. Y hablamos de pérdida de poder adquisitivo y no de ganancia porque en ningún caso la pensión de AFORE cubrirá un nivel de ingresos superiores a los de la etapa previa como trabajadores en activo.</t>
  </si>
  <si>
    <t>Otros: Cualquier otro instrumento de ahorro enfocado unicamente en el retiro.</t>
  </si>
  <si>
    <t>PPP: Plan Privado de Pensiones, es una prestación dada por las compañias privadas.</t>
  </si>
  <si>
    <t>Mi Plan Personal de Retiro</t>
  </si>
  <si>
    <t>Falta para Mi Meta</t>
  </si>
  <si>
    <t>Meta CONSAR</t>
  </si>
  <si>
    <t>Mi Meta</t>
  </si>
  <si>
    <t>Sueldo Futuro</t>
  </si>
  <si>
    <t>Mis Planes</t>
  </si>
  <si>
    <t>Afore: De acuerdo con la CONSAR, tenemos una tasa de reemplazo de 25% a 30%</t>
  </si>
  <si>
    <t>Inversiones</t>
  </si>
  <si>
    <t>Otros Ahorros</t>
  </si>
  <si>
    <t>PPR Deducible</t>
  </si>
  <si>
    <t>Planea MÁS</t>
  </si>
  <si>
    <t>Planeación y Estrategias de Ahorro</t>
  </si>
  <si>
    <t>Paseo de la Reforma 342 Piso 18 Col. Juarez 06500, Ciudad de México.</t>
  </si>
  <si>
    <t>Asesor: Manuel Alejandro de los Santos   Tel. 55 5966 5524</t>
  </si>
  <si>
    <t>¿Cuánto dinero necesito para un RETIRO DIGNO?</t>
  </si>
  <si>
    <t>¿Qué es la Tasa de Reemplazo?</t>
  </si>
  <si>
    <t>Mi Realidad</t>
  </si>
  <si>
    <t>Mi Monto
Deseado</t>
  </si>
  <si>
    <t>¿Cuál es el ingreso Mensual Deseado si HOY fuera Tu Retiro?</t>
  </si>
  <si>
    <t>¿Cuál es tu Edad?</t>
  </si>
  <si>
    <t>¿A que edad te quieres Retirar?*</t>
  </si>
  <si>
    <t>¿Qué pensión desearías?**</t>
  </si>
  <si>
    <t>* La edad oficial de Retiro es a los 65 años, sin embargo, puedes retirarte antes o despues. Depende de ti.</t>
  </si>
  <si>
    <t>** Indica el ingreso MENSUAL que te gustaría tener a Pesos de hoy. Puedes usar como ejemplo tu salario actual.</t>
  </si>
  <si>
    <t>***Sueldo Inflacionado a la edad de retiro. Estimado de inflación del 4.5%</t>
  </si>
  <si>
    <t>Sueldo Futuro
EN TU RETIRO***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</si>
</sst>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0.0%"/>
    <numFmt numFmtId="167" formatCode="_-* #,##0.0000_-;\-* #,##0.0000_-;_-* &quot;-&quot;??_-;_-@_-"/>
    <numFmt numFmtId="168" formatCode="_-* #,##0.00\ &quot;€&quot;_-;\-* #,##0.00\ &quot;€&quot;_-;_-* &quot;-&quot;??\ &quot;€&quot;_-;_-@_-"/>
    <numFmt numFmtId="169" formatCode="&quot;$&quot;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/>
      <name val="Helvetica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6" tint="-0.499984740745262"/>
      <name val="Calibri Light"/>
      <family val="2"/>
      <scheme val="major"/>
    </font>
    <font>
      <sz val="14"/>
      <color theme="6" tint="-0.499984740745262"/>
      <name val="Calibri Light"/>
      <family val="2"/>
      <scheme val="major"/>
    </font>
    <font>
      <sz val="12"/>
      <color theme="1" tint="0.34998626667073579"/>
      <name val="Calibri"/>
      <family val="1"/>
      <scheme val="minor"/>
    </font>
    <font>
      <sz val="11"/>
      <color theme="1" tint="0.34998626667073579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24"/>
      <color rgb="FF002060"/>
      <name val="Cooper Black"/>
      <family val="1"/>
    </font>
    <font>
      <b/>
      <sz val="20"/>
      <color rgb="FF0070C0"/>
      <name val="Cooper Black"/>
      <family val="1"/>
    </font>
    <font>
      <sz val="20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sz val="14"/>
      <color rgb="FF0070C0"/>
      <name val="Cooper Black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rgb="FF002060"/>
      </right>
      <top/>
      <bottom/>
      <diagonal/>
    </border>
    <border>
      <left style="thin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/>
      <top/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 style="thin">
        <color rgb="FF002060"/>
      </top>
      <bottom style="thick">
        <color rgb="FF002060"/>
      </bottom>
      <diagonal/>
    </border>
    <border>
      <left style="thin">
        <color rgb="FF002060"/>
      </left>
      <right/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>
      <alignment horizontal="left" vertical="center" wrapText="1" indent="2"/>
    </xf>
    <xf numFmtId="0" fontId="21" fillId="0" borderId="27" applyNumberFormat="0" applyFill="0" applyProtection="0">
      <alignment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Protection="0">
      <alignment horizontal="left" vertical="center" indent="2"/>
    </xf>
    <xf numFmtId="168" fontId="24" fillId="0" borderId="0" applyFont="0" applyFill="0" applyBorder="0" applyAlignment="0" applyProtection="0"/>
  </cellStyleXfs>
  <cellXfs count="219">
    <xf numFmtId="0" fontId="0" fillId="0" borderId="0" xfId="0"/>
    <xf numFmtId="165" fontId="0" fillId="0" borderId="0" xfId="2" applyNumberFormat="1" applyFont="1"/>
    <xf numFmtId="165" fontId="3" fillId="0" borderId="1" xfId="0" applyNumberFormat="1" applyFont="1" applyBorder="1"/>
    <xf numFmtId="0" fontId="0" fillId="0" borderId="1" xfId="0" applyBorder="1"/>
    <xf numFmtId="164" fontId="4" fillId="4" borderId="1" xfId="1" applyNumberFormat="1" applyFont="1" applyFill="1" applyBorder="1" applyAlignment="1">
      <alignment horizontal="center" vertical="center"/>
    </xf>
    <xf numFmtId="166" fontId="0" fillId="0" borderId="0" xfId="3" applyNumberFormat="1" applyFont="1"/>
    <xf numFmtId="164" fontId="4" fillId="4" borderId="5" xfId="1" applyNumberFormat="1" applyFont="1" applyFill="1" applyBorder="1" applyAlignment="1">
      <alignment horizontal="center" vertical="center"/>
    </xf>
    <xf numFmtId="9" fontId="0" fillId="0" borderId="0" xfId="3" applyFont="1"/>
    <xf numFmtId="0" fontId="0" fillId="0" borderId="10" xfId="0" applyBorder="1"/>
    <xf numFmtId="0" fontId="0" fillId="0" borderId="11" xfId="0" applyBorder="1"/>
    <xf numFmtId="165" fontId="0" fillId="0" borderId="12" xfId="2" applyNumberFormat="1" applyFont="1" applyBorder="1"/>
    <xf numFmtId="0" fontId="0" fillId="2" borderId="13" xfId="0" applyFill="1" applyBorder="1"/>
    <xf numFmtId="165" fontId="0" fillId="2" borderId="14" xfId="2" applyNumberFormat="1" applyFont="1" applyFill="1" applyBorder="1"/>
    <xf numFmtId="0" fontId="0" fillId="0" borderId="13" xfId="0" applyBorder="1"/>
    <xf numFmtId="165" fontId="0" fillId="0" borderId="14" xfId="2" applyNumberFormat="1" applyFont="1" applyBorder="1"/>
    <xf numFmtId="165" fontId="0" fillId="0" borderId="8" xfId="2" applyNumberFormat="1" applyFont="1" applyBorder="1"/>
    <xf numFmtId="164" fontId="0" fillId="0" borderId="10" xfId="1" applyNumberFormat="1" applyFont="1" applyBorder="1"/>
    <xf numFmtId="164" fontId="0" fillId="2" borderId="13" xfId="1" applyNumberFormat="1" applyFont="1" applyFill="1" applyBorder="1"/>
    <xf numFmtId="164" fontId="0" fillId="0" borderId="13" xfId="1" applyNumberFormat="1" applyFont="1" applyBorder="1"/>
    <xf numFmtId="165" fontId="0" fillId="0" borderId="7" xfId="2" applyNumberFormat="1" applyFont="1" applyBorder="1"/>
    <xf numFmtId="165" fontId="0" fillId="0" borderId="11" xfId="2" applyNumberFormat="1" applyFont="1" applyBorder="1"/>
    <xf numFmtId="166" fontId="0" fillId="0" borderId="12" xfId="3" applyNumberFormat="1" applyFont="1" applyBorder="1"/>
    <xf numFmtId="166" fontId="0" fillId="2" borderId="14" xfId="3" applyNumberFormat="1" applyFont="1" applyFill="1" applyBorder="1"/>
    <xf numFmtId="166" fontId="0" fillId="0" borderId="14" xfId="3" applyNumberFormat="1" applyFont="1" applyBorder="1"/>
    <xf numFmtId="164" fontId="0" fillId="0" borderId="0" xfId="0" applyNumberFormat="1"/>
    <xf numFmtId="164" fontId="6" fillId="0" borderId="9" xfId="1" applyNumberFormat="1" applyFont="1" applyBorder="1"/>
    <xf numFmtId="164" fontId="6" fillId="0" borderId="10" xfId="1" applyNumberFormat="1" applyFont="1" applyBorder="1"/>
    <xf numFmtId="0" fontId="7" fillId="0" borderId="6" xfId="0" applyFont="1" applyBorder="1"/>
    <xf numFmtId="0" fontId="7" fillId="0" borderId="5" xfId="0" applyFont="1" applyBorder="1"/>
    <xf numFmtId="167" fontId="0" fillId="0" borderId="0" xfId="1" applyNumberFormat="1" applyFont="1"/>
    <xf numFmtId="166" fontId="3" fillId="3" borderId="1" xfId="3" applyNumberFormat="1" applyFont="1" applyFill="1" applyBorder="1"/>
    <xf numFmtId="165" fontId="0" fillId="0" borderId="1" xfId="0" applyNumberFormat="1" applyBorder="1"/>
    <xf numFmtId="164" fontId="4" fillId="4" borderId="2" xfId="1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165" fontId="0" fillId="0" borderId="18" xfId="2" applyNumberFormat="1" applyFont="1" applyBorder="1"/>
    <xf numFmtId="165" fontId="0" fillId="0" borderId="19" xfId="2" applyNumberFormat="1" applyFont="1" applyBorder="1"/>
    <xf numFmtId="165" fontId="0" fillId="2" borderId="20" xfId="2" applyNumberFormat="1" applyFont="1" applyFill="1" applyBorder="1"/>
    <xf numFmtId="165" fontId="0" fillId="2" borderId="21" xfId="2" applyNumberFormat="1" applyFont="1" applyFill="1" applyBorder="1"/>
    <xf numFmtId="165" fontId="0" fillId="0" borderId="20" xfId="2" applyNumberFormat="1" applyFont="1" applyBorder="1"/>
    <xf numFmtId="165" fontId="0" fillId="0" borderId="21" xfId="2" applyNumberFormat="1" applyFont="1" applyBorder="1"/>
    <xf numFmtId="166" fontId="0" fillId="0" borderId="5" xfId="3" applyNumberFormat="1" applyFont="1" applyBorder="1" applyAlignment="1">
      <alignment horizontal="center"/>
    </xf>
    <xf numFmtId="164" fontId="0" fillId="0" borderId="0" xfId="1" applyNumberFormat="1" applyFont="1" applyBorder="1"/>
    <xf numFmtId="0" fontId="0" fillId="2" borderId="0" xfId="0" applyFill="1" applyBorder="1"/>
    <xf numFmtId="164" fontId="0" fillId="2" borderId="0" xfId="1" applyNumberFormat="1" applyFont="1" applyFill="1" applyBorder="1"/>
    <xf numFmtId="165" fontId="0" fillId="2" borderId="0" xfId="2" applyNumberFormat="1" applyFont="1" applyFill="1" applyBorder="1"/>
    <xf numFmtId="0" fontId="0" fillId="0" borderId="0" xfId="0" applyBorder="1"/>
    <xf numFmtId="165" fontId="0" fillId="0" borderId="0" xfId="2" applyNumberFormat="1" applyFont="1" applyBorder="1"/>
    <xf numFmtId="165" fontId="0" fillId="0" borderId="1" xfId="0" applyNumberFormat="1" applyFont="1" applyBorder="1"/>
    <xf numFmtId="43" fontId="0" fillId="2" borderId="14" xfId="1" applyFont="1" applyFill="1" applyBorder="1"/>
    <xf numFmtId="43" fontId="0" fillId="0" borderId="14" xfId="1" applyFont="1" applyBorder="1"/>
    <xf numFmtId="164" fontId="0" fillId="2" borderId="22" xfId="1" applyNumberFormat="1" applyFont="1" applyFill="1" applyBorder="1"/>
    <xf numFmtId="164" fontId="0" fillId="0" borderId="22" xfId="1" applyNumberFormat="1" applyFont="1" applyBorder="1"/>
    <xf numFmtId="0" fontId="5" fillId="7" borderId="1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165" fontId="0" fillId="0" borderId="14" xfId="2" applyNumberFormat="1" applyFont="1" applyFill="1" applyBorder="1"/>
    <xf numFmtId="14" fontId="0" fillId="0" borderId="0" xfId="0" applyNumberFormat="1"/>
    <xf numFmtId="166" fontId="0" fillId="0" borderId="0" xfId="3" applyNumberFormat="1" applyFont="1" applyBorder="1"/>
    <xf numFmtId="0" fontId="0" fillId="0" borderId="9" xfId="0" applyBorder="1"/>
    <xf numFmtId="0" fontId="0" fillId="0" borderId="7" xfId="0" applyBorder="1"/>
    <xf numFmtId="43" fontId="0" fillId="0" borderId="8" xfId="1" applyFont="1" applyBorder="1"/>
    <xf numFmtId="164" fontId="0" fillId="0" borderId="7" xfId="1" applyNumberFormat="1" applyFont="1" applyBorder="1"/>
    <xf numFmtId="164" fontId="0" fillId="0" borderId="23" xfId="1" applyNumberFormat="1" applyFont="1" applyBorder="1"/>
    <xf numFmtId="165" fontId="0" fillId="0" borderId="24" xfId="2" applyNumberFormat="1" applyFont="1" applyBorder="1"/>
    <xf numFmtId="165" fontId="0" fillId="0" borderId="25" xfId="2" applyNumberFormat="1" applyFont="1" applyBorder="1"/>
    <xf numFmtId="164" fontId="0" fillId="0" borderId="9" xfId="1" applyNumberFormat="1" applyFont="1" applyBorder="1"/>
    <xf numFmtId="166" fontId="0" fillId="0" borderId="8" xfId="3" applyNumberFormat="1" applyFont="1" applyBorder="1"/>
    <xf numFmtId="165" fontId="0" fillId="0" borderId="12" xfId="2" applyNumberFormat="1" applyFont="1" applyFill="1" applyBorder="1"/>
    <xf numFmtId="165" fontId="0" fillId="0" borderId="8" xfId="2" applyNumberFormat="1" applyFont="1" applyFill="1" applyBorder="1"/>
    <xf numFmtId="164" fontId="0" fillId="0" borderId="6" xfId="1" applyNumberFormat="1" applyFont="1" applyBorder="1"/>
    <xf numFmtId="164" fontId="0" fillId="2" borderId="15" xfId="1" applyNumberFormat="1" applyFont="1" applyFill="1" applyBorder="1"/>
    <xf numFmtId="164" fontId="0" fillId="0" borderId="15" xfId="1" applyNumberFormat="1" applyFont="1" applyBorder="1"/>
    <xf numFmtId="164" fontId="0" fillId="0" borderId="5" xfId="1" applyNumberFormat="1" applyFont="1" applyBorder="1"/>
    <xf numFmtId="0" fontId="0" fillId="0" borderId="10" xfId="1" applyNumberFormat="1" applyFont="1" applyBorder="1"/>
    <xf numFmtId="164" fontId="0" fillId="0" borderId="11" xfId="1" applyNumberFormat="1" applyFont="1" applyBorder="1"/>
    <xf numFmtId="44" fontId="0" fillId="0" borderId="12" xfId="2" applyFont="1" applyBorder="1"/>
    <xf numFmtId="0" fontId="0" fillId="2" borderId="13" xfId="1" applyNumberFormat="1" applyFont="1" applyFill="1" applyBorder="1"/>
    <xf numFmtId="44" fontId="0" fillId="2" borderId="14" xfId="2" applyFont="1" applyFill="1" applyBorder="1"/>
    <xf numFmtId="0" fontId="0" fillId="0" borderId="13" xfId="1" applyNumberFormat="1" applyFont="1" applyBorder="1"/>
    <xf numFmtId="44" fontId="0" fillId="0" borderId="14" xfId="2" applyFont="1" applyBorder="1"/>
    <xf numFmtId="0" fontId="0" fillId="0" borderId="9" xfId="1" applyNumberFormat="1" applyFont="1" applyBorder="1"/>
    <xf numFmtId="44" fontId="0" fillId="0" borderId="8" xfId="2" applyFont="1" applyBorder="1"/>
    <xf numFmtId="43" fontId="0" fillId="0" borderId="12" xfId="1" applyFont="1" applyBorder="1"/>
    <xf numFmtId="164" fontId="0" fillId="8" borderId="6" xfId="1" applyNumberFormat="1" applyFont="1" applyFill="1" applyBorder="1"/>
    <xf numFmtId="164" fontId="0" fillId="8" borderId="15" xfId="1" applyNumberFormat="1" applyFont="1" applyFill="1" applyBorder="1"/>
    <xf numFmtId="164" fontId="0" fillId="8" borderId="5" xfId="1" applyNumberFormat="1" applyFont="1" applyFill="1" applyBorder="1"/>
    <xf numFmtId="164" fontId="0" fillId="8" borderId="1" xfId="1" applyNumberFormat="1" applyFont="1" applyFill="1" applyBorder="1"/>
    <xf numFmtId="0" fontId="0" fillId="8" borderId="1" xfId="0" applyFill="1" applyBorder="1"/>
    <xf numFmtId="0" fontId="4" fillId="4" borderId="1" xfId="0" applyFont="1" applyFill="1" applyBorder="1" applyAlignment="1">
      <alignment horizontal="center" vertical="center"/>
    </xf>
    <xf numFmtId="166" fontId="0" fillId="8" borderId="1" xfId="3" applyNumberFormat="1" applyFont="1" applyFill="1" applyBorder="1"/>
    <xf numFmtId="0" fontId="4" fillId="4" borderId="5" xfId="0" applyFont="1" applyFill="1" applyBorder="1" applyAlignment="1">
      <alignment horizontal="center" vertical="center"/>
    </xf>
    <xf numFmtId="15" fontId="0" fillId="0" borderId="0" xfId="0" applyNumberFormat="1"/>
    <xf numFmtId="165" fontId="1" fillId="0" borderId="0" xfId="2" applyNumberFormat="1" applyFont="1"/>
    <xf numFmtId="0" fontId="0" fillId="0" borderId="0" xfId="0" applyFont="1"/>
    <xf numFmtId="0" fontId="0" fillId="5" borderId="0" xfId="0" applyFill="1" applyProtection="1"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5" borderId="0" xfId="0" applyFont="1" applyFill="1" applyProtection="1">
      <protection hidden="1"/>
    </xf>
    <xf numFmtId="0" fontId="32" fillId="0" borderId="0" xfId="0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20" fillId="5" borderId="0" xfId="0" applyFont="1" applyFill="1" applyProtection="1">
      <protection hidden="1"/>
    </xf>
    <xf numFmtId="0" fontId="8" fillId="5" borderId="0" xfId="0" applyFont="1" applyFill="1" applyProtection="1">
      <protection hidden="1"/>
    </xf>
    <xf numFmtId="165" fontId="8" fillId="5" borderId="0" xfId="0" applyNumberFormat="1" applyFont="1" applyFill="1" applyProtection="1">
      <protection hidden="1"/>
    </xf>
    <xf numFmtId="0" fontId="20" fillId="5" borderId="0" xfId="0" applyFont="1" applyFill="1" applyAlignment="1" applyProtection="1">
      <alignment wrapText="1"/>
      <protection hidden="1"/>
    </xf>
    <xf numFmtId="165" fontId="20" fillId="5" borderId="0" xfId="2" applyNumberFormat="1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164" fontId="20" fillId="5" borderId="0" xfId="1" applyNumberFormat="1" applyFont="1" applyFill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165" fontId="26" fillId="0" borderId="0" xfId="0" applyNumberFormat="1" applyFont="1" applyFill="1" applyBorder="1" applyAlignment="1" applyProtection="1">
      <alignment vertical="center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164" fontId="0" fillId="5" borderId="0" xfId="1" applyNumberFormat="1" applyFont="1" applyFill="1" applyProtection="1">
      <protection hidden="1"/>
    </xf>
    <xf numFmtId="165" fontId="0" fillId="5" borderId="0" xfId="2" applyNumberFormat="1" applyFont="1" applyFill="1" applyProtection="1">
      <protection hidden="1"/>
    </xf>
    <xf numFmtId="0" fontId="0" fillId="5" borderId="0" xfId="0" applyFill="1" applyAlignment="1" applyProtection="1">
      <alignment wrapText="1"/>
      <protection hidden="1"/>
    </xf>
    <xf numFmtId="165" fontId="26" fillId="0" borderId="0" xfId="2" applyNumberFormat="1" applyFont="1" applyFill="1" applyBorder="1" applyAlignment="1" applyProtection="1">
      <alignment vertical="center"/>
      <protection hidden="1"/>
    </xf>
    <xf numFmtId="0" fontId="18" fillId="0" borderId="0" xfId="2" applyNumberFormat="1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0" fillId="5" borderId="0" xfId="0" applyFont="1" applyFill="1" applyAlignment="1" applyProtection="1">
      <alignment vertical="center"/>
      <protection hidden="1"/>
    </xf>
    <xf numFmtId="0" fontId="0" fillId="5" borderId="26" xfId="0" applyFill="1" applyBorder="1" applyProtection="1">
      <protection hidden="1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30" fillId="4" borderId="29" xfId="0" applyFont="1" applyFill="1" applyBorder="1" applyAlignment="1" applyProtection="1">
      <alignment horizontal="center" vertical="center" wrapText="1"/>
      <protection locked="0"/>
    </xf>
    <xf numFmtId="0" fontId="30" fillId="4" borderId="3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30" fillId="4" borderId="37" xfId="0" applyFont="1" applyFill="1" applyBorder="1" applyAlignment="1" applyProtection="1">
      <alignment horizontal="center" vertical="center" wrapText="1"/>
      <protection locked="0"/>
    </xf>
    <xf numFmtId="169" fontId="29" fillId="12" borderId="39" xfId="0" applyNumberFormat="1" applyFont="1" applyFill="1" applyBorder="1" applyAlignment="1" applyProtection="1">
      <alignment horizontal="center" vertical="center"/>
      <protection locked="0"/>
    </xf>
    <xf numFmtId="0" fontId="29" fillId="12" borderId="38" xfId="2" applyNumberFormat="1" applyFont="1" applyFill="1" applyBorder="1" applyAlignment="1" applyProtection="1">
      <alignment horizontal="center" vertical="center"/>
      <protection locked="0"/>
    </xf>
    <xf numFmtId="0" fontId="29" fillId="12" borderId="39" xfId="0" applyNumberFormat="1" applyFont="1" applyFill="1" applyBorder="1" applyAlignment="1" applyProtection="1">
      <alignment horizontal="center" vertical="center"/>
      <protection locked="0"/>
    </xf>
    <xf numFmtId="169" fontId="2" fillId="3" borderId="4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65" fontId="3" fillId="9" borderId="6" xfId="0" applyNumberFormat="1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4" fontId="16" fillId="4" borderId="2" xfId="1" applyNumberFormat="1" applyFont="1" applyFill="1" applyBorder="1" applyAlignment="1">
      <alignment horizontal="center" vertical="center"/>
    </xf>
    <xf numFmtId="164" fontId="16" fillId="4" borderId="3" xfId="1" applyNumberFormat="1" applyFont="1" applyFill="1" applyBorder="1" applyAlignment="1">
      <alignment horizontal="center" vertical="center"/>
    </xf>
    <xf numFmtId="164" fontId="16" fillId="4" borderId="4" xfId="1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25" fillId="6" borderId="32" xfId="0" applyFont="1" applyFill="1" applyBorder="1" applyAlignment="1" applyProtection="1">
      <alignment horizontal="center" vertical="center"/>
      <protection locked="0"/>
    </xf>
    <xf numFmtId="0" fontId="25" fillId="6" borderId="30" xfId="0" applyFont="1" applyFill="1" applyBorder="1" applyAlignment="1" applyProtection="1">
      <alignment horizontal="center" vertical="center"/>
      <protection locked="0"/>
    </xf>
    <xf numFmtId="0" fontId="25" fillId="6" borderId="33" xfId="0" applyFont="1" applyFill="1" applyBorder="1" applyAlignment="1" applyProtection="1">
      <alignment horizontal="center" vertical="center"/>
      <protection locked="0"/>
    </xf>
    <xf numFmtId="0" fontId="25" fillId="6" borderId="34" xfId="0" applyFont="1" applyFill="1" applyBorder="1" applyAlignment="1" applyProtection="1">
      <alignment horizontal="center" vertical="center"/>
      <protection locked="0"/>
    </xf>
    <xf numFmtId="0" fontId="25" fillId="6" borderId="0" xfId="0" applyFont="1" applyFill="1" applyBorder="1" applyAlignment="1" applyProtection="1">
      <alignment horizontal="center" vertical="center"/>
      <protection locked="0"/>
    </xf>
    <xf numFmtId="0" fontId="25" fillId="6" borderId="28" xfId="0" applyFont="1" applyFill="1" applyBorder="1" applyAlignment="1" applyProtection="1">
      <alignment horizontal="center" vertical="center"/>
      <protection locked="0"/>
    </xf>
    <xf numFmtId="0" fontId="12" fillId="11" borderId="34" xfId="0" applyFont="1" applyFill="1" applyBorder="1" applyAlignment="1" applyProtection="1">
      <alignment horizontal="center" vertical="center"/>
      <protection locked="0"/>
    </xf>
    <xf numFmtId="0" fontId="12" fillId="11" borderId="0" xfId="0" applyFont="1" applyFill="1" applyBorder="1" applyAlignment="1" applyProtection="1">
      <alignment horizontal="center" vertical="center"/>
      <protection locked="0"/>
    </xf>
    <xf numFmtId="0" fontId="12" fillId="11" borderId="28" xfId="0" applyFont="1" applyFill="1" applyBorder="1" applyAlignment="1" applyProtection="1">
      <alignment horizontal="center" vertical="center"/>
      <protection locked="0"/>
    </xf>
    <xf numFmtId="0" fontId="12" fillId="11" borderId="35" xfId="0" applyFont="1" applyFill="1" applyBorder="1" applyAlignment="1" applyProtection="1">
      <alignment horizontal="center" vertical="center"/>
      <protection locked="0"/>
    </xf>
    <xf numFmtId="0" fontId="12" fillId="11" borderId="31" xfId="0" applyFont="1" applyFill="1" applyBorder="1" applyAlignment="1" applyProtection="1">
      <alignment horizontal="center" vertical="center"/>
      <protection locked="0"/>
    </xf>
    <xf numFmtId="0" fontId="12" fillId="11" borderId="36" xfId="0" applyFont="1" applyFill="1" applyBorder="1" applyAlignment="1" applyProtection="1">
      <alignment horizontal="center" vertical="center"/>
      <protection locked="0"/>
    </xf>
    <xf numFmtId="0" fontId="25" fillId="6" borderId="0" xfId="0" applyFont="1" applyFill="1" applyBorder="1" applyAlignment="1" applyProtection="1">
      <alignment horizontal="center" vertical="center"/>
      <protection hidden="1"/>
    </xf>
    <xf numFmtId="0" fontId="25" fillId="6" borderId="28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0" fontId="13" fillId="6" borderId="0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166" fontId="14" fillId="0" borderId="1" xfId="3" applyNumberFormat="1" applyFont="1" applyFill="1" applyBorder="1" applyAlignment="1" applyProtection="1">
      <alignment horizontal="center" vertical="center"/>
      <protection hidden="1"/>
    </xf>
    <xf numFmtId="165" fontId="18" fillId="0" borderId="1" xfId="2" applyNumberFormat="1" applyFont="1" applyBorder="1" applyAlignment="1" applyProtection="1">
      <alignment horizontal="center" vertical="center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9" fillId="6" borderId="6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5" xfId="0" applyFont="1" applyFill="1" applyBorder="1" applyAlignment="1" applyProtection="1">
      <alignment horizontal="center" vertical="center" wrapText="1"/>
      <protection hidden="1"/>
    </xf>
    <xf numFmtId="0" fontId="9" fillId="4" borderId="6" xfId="0" applyFont="1" applyFill="1" applyBorder="1" applyAlignment="1" applyProtection="1">
      <alignment horizontal="center" vertical="center" wrapText="1"/>
      <protection hidden="1"/>
    </xf>
    <xf numFmtId="0" fontId="9" fillId="4" borderId="15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165" fontId="12" fillId="4" borderId="1" xfId="2" applyNumberFormat="1" applyFont="1" applyFill="1" applyBorder="1" applyAlignment="1" applyProtection="1">
      <alignment horizontal="center" vertical="center" wrapText="1"/>
      <protection hidden="1"/>
    </xf>
    <xf numFmtId="166" fontId="14" fillId="0" borderId="1" xfId="3" applyNumberFormat="1" applyFont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166" fontId="31" fillId="6" borderId="1" xfId="3" applyNumberFormat="1" applyFont="1" applyFill="1" applyBorder="1" applyAlignment="1" applyProtection="1">
      <alignment horizontal="center" vertical="center" wrapText="1"/>
      <protection hidden="1"/>
    </xf>
    <xf numFmtId="0" fontId="16" fillId="4" borderId="6" xfId="0" applyFont="1" applyFill="1" applyBorder="1" applyAlignment="1" applyProtection="1">
      <alignment horizontal="center" vertical="center" wrapText="1"/>
      <protection hidden="1"/>
    </xf>
    <xf numFmtId="0" fontId="16" fillId="4" borderId="5" xfId="0" applyFont="1" applyFill="1" applyBorder="1" applyAlignment="1" applyProtection="1">
      <alignment horizontal="center" vertical="center" wrapText="1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165" fontId="14" fillId="0" borderId="6" xfId="0" applyNumberFormat="1" applyFont="1" applyBorder="1" applyAlignment="1" applyProtection="1">
      <alignment horizontal="center" vertical="center"/>
      <protection hidden="1"/>
    </xf>
    <xf numFmtId="165" fontId="14" fillId="0" borderId="5" xfId="0" applyNumberFormat="1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justify" vertical="center" wrapText="1"/>
      <protection hidden="1"/>
    </xf>
    <xf numFmtId="165" fontId="18" fillId="10" borderId="1" xfId="0" applyNumberFormat="1" applyFont="1" applyFill="1" applyBorder="1" applyAlignment="1" applyProtection="1">
      <alignment horizontal="center" vertical="center"/>
      <protection hidden="1"/>
    </xf>
    <xf numFmtId="0" fontId="19" fillId="0" borderId="6" xfId="2" applyNumberFormat="1" applyFont="1" applyBorder="1" applyAlignment="1" applyProtection="1">
      <alignment horizontal="center" vertical="center"/>
      <protection hidden="1"/>
    </xf>
    <xf numFmtId="0" fontId="19" fillId="0" borderId="5" xfId="2" applyNumberFormat="1" applyFont="1" applyBorder="1" applyAlignment="1" applyProtection="1">
      <alignment horizontal="center" vertical="center"/>
      <protection hidden="1"/>
    </xf>
    <xf numFmtId="165" fontId="14" fillId="10" borderId="6" xfId="0" applyNumberFormat="1" applyFont="1" applyFill="1" applyBorder="1" applyAlignment="1" applyProtection="1">
      <alignment horizontal="center" vertical="center"/>
      <protection hidden="1"/>
    </xf>
    <xf numFmtId="165" fontId="14" fillId="10" borderId="5" xfId="0" applyNumberFormat="1" applyFont="1" applyFill="1" applyBorder="1" applyAlignment="1" applyProtection="1">
      <alignment horizontal="center" vertical="center"/>
      <protection hidden="1"/>
    </xf>
    <xf numFmtId="165" fontId="19" fillId="0" borderId="6" xfId="2" applyNumberFormat="1" applyFont="1" applyBorder="1" applyAlignment="1" applyProtection="1">
      <alignment horizontal="center" vertical="center"/>
      <protection hidden="1"/>
    </xf>
    <xf numFmtId="165" fontId="19" fillId="0" borderId="5" xfId="2" applyNumberFormat="1" applyFont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vertical="center" wrapText="1"/>
      <protection hidden="1"/>
    </xf>
    <xf numFmtId="165" fontId="19" fillId="0" borderId="6" xfId="3" applyNumberFormat="1" applyFont="1" applyBorder="1" applyAlignment="1" applyProtection="1">
      <alignment horizontal="center" vertical="center"/>
      <protection hidden="1"/>
    </xf>
    <xf numFmtId="9" fontId="19" fillId="0" borderId="5" xfId="3" applyFont="1" applyBorder="1" applyAlignment="1" applyProtection="1">
      <alignment horizontal="center" vertical="center"/>
      <protection hidden="1"/>
    </xf>
    <xf numFmtId="0" fontId="16" fillId="4" borderId="15" xfId="0" applyFont="1" applyFill="1" applyBorder="1" applyAlignment="1" applyProtection="1">
      <alignment horizontal="center" vertical="center" wrapText="1"/>
      <protection hidden="1"/>
    </xf>
    <xf numFmtId="0" fontId="19" fillId="0" borderId="6" xfId="2" applyNumberFormat="1" applyFont="1" applyFill="1" applyBorder="1" applyAlignment="1" applyProtection="1">
      <alignment horizontal="center" vertical="center"/>
      <protection hidden="1"/>
    </xf>
    <xf numFmtId="0" fontId="19" fillId="0" borderId="5" xfId="2" applyNumberFormat="1" applyFont="1" applyFill="1" applyBorder="1" applyAlignment="1" applyProtection="1">
      <alignment horizontal="center" vertical="center"/>
      <protection hidden="1"/>
    </xf>
    <xf numFmtId="0" fontId="19" fillId="0" borderId="6" xfId="0" applyFont="1" applyFill="1" applyBorder="1" applyAlignment="1" applyProtection="1">
      <alignment horizontal="center" vertical="center"/>
      <protection hidden="1"/>
    </xf>
    <xf numFmtId="0" fontId="19" fillId="0" borderId="5" xfId="0" applyFont="1" applyFill="1" applyBorder="1" applyAlignment="1" applyProtection="1">
      <alignment horizontal="center" vertical="center"/>
      <protection hidden="1"/>
    </xf>
    <xf numFmtId="0" fontId="19" fillId="0" borderId="10" xfId="0" applyFont="1" applyFill="1" applyBorder="1" applyAlignment="1" applyProtection="1">
      <alignment horizontal="center" vertical="center"/>
      <protection hidden="1"/>
    </xf>
    <xf numFmtId="0" fontId="19" fillId="0" borderId="13" xfId="0" applyFont="1" applyFill="1" applyBorder="1" applyAlignment="1" applyProtection="1">
      <alignment horizontal="center" vertical="center"/>
      <protection hidden="1"/>
    </xf>
    <xf numFmtId="165" fontId="14" fillId="0" borderId="6" xfId="0" applyNumberFormat="1" applyFont="1" applyFill="1" applyBorder="1" applyAlignment="1" applyProtection="1">
      <alignment horizontal="center" vertical="center"/>
      <protection hidden="1"/>
    </xf>
    <xf numFmtId="165" fontId="14" fillId="0" borderId="15" xfId="0" applyNumberFormat="1" applyFont="1" applyFill="1" applyBorder="1" applyAlignment="1" applyProtection="1">
      <alignment horizontal="center" vertical="center"/>
      <protection hidden="1"/>
    </xf>
  </cellXfs>
  <cellStyles count="9">
    <cellStyle name="Encabezado 1 2" xfId="6"/>
    <cellStyle name="Millares" xfId="1" builtinId="3"/>
    <cellStyle name="Moneda" xfId="2" builtinId="4"/>
    <cellStyle name="Moneda 2" xfId="8"/>
    <cellStyle name="Normal" xfId="0" builtinId="0"/>
    <cellStyle name="Normal 2" xfId="4"/>
    <cellStyle name="Porcentaje" xfId="3" builtinId="5"/>
    <cellStyle name="Título 2 2" xfId="7"/>
    <cellStyle name="Título 4" xfId="5"/>
  </cellStyles>
  <dxfs count="2">
    <dxf>
      <font>
        <b/>
        <i val="0"/>
        <color theme="1" tint="0.34998626667073579"/>
      </font>
      <fill>
        <patternFill>
          <bgColor theme="0"/>
        </patternFill>
      </fill>
      <border>
        <bottom style="medium">
          <color theme="6" tint="-0.499984740745262"/>
        </bottom>
      </border>
    </dxf>
    <dxf>
      <font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 style="thin">
          <color theme="0" tint="-0.14996795556505021"/>
        </horizontal>
      </border>
    </dxf>
  </dxfs>
  <tableStyles count="1" defaultTableStyle="TableStyleMedium2" defaultPivotStyle="PivotStyleLight16">
    <tableStyle name="Escala de tiempo del proyecto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268550129042508E-2"/>
          <c:y val="8.1640475354881947E-2"/>
          <c:w val="0.945462899741915"/>
          <c:h val="0.8520607892086720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'Mi Retiro'!$M$12</c:f>
              <c:strCache>
                <c:ptCount val="1"/>
                <c:pt idx="0">
                  <c:v>Mi Meta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AB6-4E42-8CBA-5AE0246A517B}"/>
              </c:ext>
            </c:extLst>
          </c:dPt>
          <c:dLbls>
            <c:dLbl>
              <c:idx val="0"/>
              <c:layout>
                <c:manualLayout>
                  <c:x val="-3.9338957658557197E-3"/>
                  <c:y val="-0.4291811807377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8328551176988653"/>
                      <c:h val="0.170537218849262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AB6-4E42-8CBA-5AE0246A5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 Retiro'!$N$11:$P$11</c:f>
              <c:strCache>
                <c:ptCount val="3"/>
                <c:pt idx="0">
                  <c:v>Mi Meta</c:v>
                </c:pt>
                <c:pt idx="1">
                  <c:v>Meta CONSAR</c:v>
                </c:pt>
                <c:pt idx="2">
                  <c:v>Mis Planes</c:v>
                </c:pt>
              </c:strCache>
            </c:strRef>
          </c:cat>
          <c:val>
            <c:numRef>
              <c:f>'Mi Retiro'!$N$12:$P$12</c:f>
              <c:numCache>
                <c:formatCode>General</c:formatCode>
                <c:ptCount val="3"/>
                <c:pt idx="0" formatCode="_-&quot;$&quot;* #,##0_-;\-&quot;$&quot;* #,##0_-;_-&quot;$&quot;* &quot;-&quot;??_-;_-@_-">
                  <c:v>48233798.153943092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B6-4E42-8CBA-5AE0246A517B}"/>
            </c:ext>
          </c:extLst>
        </c:ser>
        <c:ser>
          <c:idx val="5"/>
          <c:order val="1"/>
          <c:tx>
            <c:strRef>
              <c:f>'Mi Retiro'!$M$13</c:f>
              <c:strCache>
                <c:ptCount val="1"/>
                <c:pt idx="0">
                  <c:v>Meta CONSAR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70C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AB6-4E42-8CBA-5AE0246A517B}"/>
              </c:ext>
            </c:extLst>
          </c:dPt>
          <c:dLbls>
            <c:dLbl>
              <c:idx val="1"/>
              <c:layout>
                <c:manualLayout>
                  <c:x val="-1.180137755012488E-2"/>
                  <c:y val="-0.326731370517116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7531302560269111"/>
                      <c:h val="0.150268791475068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4AB6-4E42-8CBA-5AE0246A5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 Retiro'!$N$11:$P$11</c:f>
              <c:strCache>
                <c:ptCount val="3"/>
                <c:pt idx="0">
                  <c:v>Mi Meta</c:v>
                </c:pt>
                <c:pt idx="1">
                  <c:v>Meta CONSAR</c:v>
                </c:pt>
                <c:pt idx="2">
                  <c:v>Mis Planes</c:v>
                </c:pt>
              </c:strCache>
            </c:strRef>
          </c:cat>
          <c:val>
            <c:numRef>
              <c:f>'Mi Retiro'!$N$13:$P$13</c:f>
              <c:numCache>
                <c:formatCode>_-"$"* #,##0_-;\-"$"* #,##0_-;_-"$"* "-"??_-;_-@_-</c:formatCode>
                <c:ptCount val="3"/>
                <c:pt idx="1">
                  <c:v>33763658.707760163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AB6-4E42-8CBA-5AE0246A517B}"/>
            </c:ext>
          </c:extLst>
        </c:ser>
        <c:ser>
          <c:idx val="7"/>
          <c:order val="2"/>
          <c:tx>
            <c:strRef>
              <c:f>'Mi Retiro'!$M$14</c:f>
              <c:strCache>
                <c:ptCount val="1"/>
                <c:pt idx="0">
                  <c:v>Afore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 Retiro'!$N$11:$P$11</c:f>
              <c:strCache>
                <c:ptCount val="3"/>
                <c:pt idx="0">
                  <c:v>Mi Meta</c:v>
                </c:pt>
                <c:pt idx="1">
                  <c:v>Meta CONSAR</c:v>
                </c:pt>
                <c:pt idx="2">
                  <c:v>Mis Planes</c:v>
                </c:pt>
              </c:strCache>
            </c:strRef>
          </c:cat>
          <c:val>
            <c:numRef>
              <c:f>'Mi Retiro'!$N$14:$P$14</c:f>
              <c:numCache>
                <c:formatCode>General</c:formatCode>
                <c:ptCount val="3"/>
                <c:pt idx="2" formatCode="_-&quot;$&quot;* #,##0_-;\-&quot;$&quot;* #,##0_-;_-&quot;$&quot;* &quot;-&quot;??_-;_-@_-">
                  <c:v>12058449.538485773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AB6-4E42-8CBA-5AE0246A517B}"/>
            </c:ext>
          </c:extLst>
        </c:ser>
        <c:ser>
          <c:idx val="9"/>
          <c:order val="3"/>
          <c:tx>
            <c:strRef>
              <c:f>'Mi Retiro'!$M$15</c:f>
              <c:strCache>
                <c:ptCount val="1"/>
                <c:pt idx="0">
                  <c:v>PPP (Prestación)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963-4D28-8B3F-7FBFDE74C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 Retiro'!$N$11:$P$11</c:f>
              <c:strCache>
                <c:ptCount val="3"/>
                <c:pt idx="0">
                  <c:v>Mi Meta</c:v>
                </c:pt>
                <c:pt idx="1">
                  <c:v>Meta CONSAR</c:v>
                </c:pt>
                <c:pt idx="2">
                  <c:v>Mis Planes</c:v>
                </c:pt>
              </c:strCache>
            </c:strRef>
          </c:cat>
          <c:val>
            <c:numRef>
              <c:f>'Mi Retiro'!$N$15:$P$15</c:f>
              <c:numCache>
                <c:formatCode>General</c:formatCode>
                <c:ptCount val="3"/>
                <c:pt idx="2" formatCode="_-&quot;$&quot;* #,##0_-;\-&quot;$&quot;* #,##0_-;_-&quot;$&quot;* &quot;-&quot;??_-;_-@_-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AB6-4E42-8CBA-5AE0246A517B}"/>
            </c:ext>
          </c:extLst>
        </c:ser>
        <c:ser>
          <c:idx val="11"/>
          <c:order val="4"/>
          <c:tx>
            <c:strRef>
              <c:f>'Mi Retiro'!$M$16</c:f>
              <c:strCache>
                <c:ptCount val="1"/>
                <c:pt idx="0">
                  <c:v>Otros Instrumentos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 Retiro'!$N$11:$P$11</c:f>
              <c:strCache>
                <c:ptCount val="3"/>
                <c:pt idx="0">
                  <c:v>Mi Meta</c:v>
                </c:pt>
                <c:pt idx="1">
                  <c:v>Meta CONSAR</c:v>
                </c:pt>
                <c:pt idx="2">
                  <c:v>Mis Planes</c:v>
                </c:pt>
              </c:strCache>
            </c:strRef>
          </c:cat>
          <c:val>
            <c:numRef>
              <c:f>'Mi Retiro'!$N$16:$P$16</c:f>
              <c:numCache>
                <c:formatCode>General</c:formatCode>
                <c:ptCount val="3"/>
                <c:pt idx="2" formatCode="_-&quot;$&quot;* #,##0_-;\-&quot;$&quot;* #,##0_-;_-&quot;$&quot;* &quot;-&quot;??_-;_-@_-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AB6-4E42-8CBA-5AE0246A517B}"/>
            </c:ext>
          </c:extLst>
        </c:ser>
        <c:ser>
          <c:idx val="0"/>
          <c:order val="5"/>
          <c:tx>
            <c:strRef>
              <c:f>'Mi Retiro'!$M$17</c:f>
              <c:strCache>
                <c:ptCount val="1"/>
                <c:pt idx="0">
                  <c:v>PPR Seg. Monterrey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B963-4D28-8B3F-7FBFDE74C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'Mi Retiro'!$N$11:$P$11</c:f>
              <c:strCache>
                <c:ptCount val="3"/>
                <c:pt idx="0">
                  <c:v>Mi Meta</c:v>
                </c:pt>
                <c:pt idx="1">
                  <c:v>Meta CONSAR</c:v>
                </c:pt>
                <c:pt idx="2">
                  <c:v>Mis Planes</c:v>
                </c:pt>
              </c:strCache>
            </c:strRef>
          </c:cat>
          <c:val>
            <c:numRef>
              <c:f>'Mi Retiro'!$N$17:$P$17</c:f>
              <c:numCache>
                <c:formatCode>General</c:formatCode>
                <c:ptCount val="3"/>
                <c:pt idx="2" formatCode="_-&quot;$&quot;* #,##0_-;\-&quot;$&quot;* #,##0_-;_-&quot;$&quot;* &quot;-&quot;??_-;_-@_-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963-4D28-8B3F-7FBFDE74C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8714112"/>
        <c:axId val="134710400"/>
      </c:barChart>
      <c:catAx>
        <c:axId val="1387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0400"/>
        <c:crosses val="autoZero"/>
        <c:auto val="1"/>
        <c:lblAlgn val="ctr"/>
        <c:lblOffset val="100"/>
        <c:noMultiLvlLbl val="0"/>
      </c:catAx>
      <c:valAx>
        <c:axId val="134710400"/>
        <c:scaling>
          <c:orientation val="minMax"/>
        </c:scaling>
        <c:delete val="1"/>
        <c:axPos val="l"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13871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37962356299175E-2"/>
          <c:y val="8.0778673703225154E-2"/>
          <c:w val="0.91324075287401651"/>
          <c:h val="0.76994766801933845"/>
        </c:manualLayout>
      </c:layout>
      <c:barChart>
        <c:barDir val="col"/>
        <c:grouping val="clustered"/>
        <c:varyColors val="0"/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8"/>
        <c:overlap val="-22"/>
        <c:axId val="139949568"/>
        <c:axId val="134712704"/>
      </c:barChart>
      <c:catAx>
        <c:axId val="1399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2704"/>
        <c:crosses val="autoZero"/>
        <c:auto val="1"/>
        <c:lblAlgn val="ctr"/>
        <c:lblOffset val="100"/>
        <c:noMultiLvlLbl val="0"/>
      </c:catAx>
      <c:valAx>
        <c:axId val="1347127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994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166195</xdr:colOff>
      <xdr:row>0</xdr:row>
      <xdr:rowOff>100506</xdr:rowOff>
    </xdr:from>
    <xdr:to>
      <xdr:col>4</xdr:col>
      <xdr:colOff>114300</xdr:colOff>
      <xdr:row>6</xdr:row>
      <xdr:rowOff>98266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695" y="100506"/>
          <a:ext cx="1424480" cy="142651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55</xdr:row>
      <xdr:rowOff>122840</xdr:rowOff>
    </xdr:from>
    <xdr:to>
      <xdr:col>6</xdr:col>
      <xdr:colOff>161925</xdr:colOff>
      <xdr:row>59</xdr:row>
      <xdr:rowOff>86273</xdr:rowOff>
    </xdr:to>
    <xdr:pic>
      <xdr:nvPicPr>
        <xdr:cNvPr id="3" name="Imagen 2" descr="Resultado de imagen para seguros monterrey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286140"/>
          <a:ext cx="3228975" cy="744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171451</xdr:rowOff>
    </xdr:from>
    <xdr:to>
      <xdr:col>2</xdr:col>
      <xdr:colOff>1651176</xdr:colOff>
      <xdr:row>4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EA9BD9E-07DE-418F-ADB6-534528063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71451"/>
          <a:ext cx="1298751" cy="930088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11</xdr:row>
      <xdr:rowOff>28575</xdr:rowOff>
    </xdr:from>
    <xdr:to>
      <xdr:col>1</xdr:col>
      <xdr:colOff>1066799</xdr:colOff>
      <xdr:row>13</xdr:row>
      <xdr:rowOff>0</xdr:rowOff>
    </xdr:to>
    <xdr:sp macro="" textlink="">
      <xdr:nvSpPr>
        <xdr:cNvPr id="2" name="Flecha: a la derecha 1">
          <a:extLst>
            <a:ext uri="{FF2B5EF4-FFF2-40B4-BE49-F238E27FC236}">
              <a16:creationId xmlns:a16="http://schemas.microsoft.com/office/drawing/2014/main" xmlns="" id="{2620E422-2503-4259-B68B-5559FA1C8EC0}"/>
            </a:ext>
          </a:extLst>
        </xdr:cNvPr>
        <xdr:cNvSpPr/>
      </xdr:nvSpPr>
      <xdr:spPr>
        <a:xfrm>
          <a:off x="95249" y="2457450"/>
          <a:ext cx="1685925" cy="1323975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>
              <a:solidFill>
                <a:schemeClr val="tx1"/>
              </a:solidFill>
            </a:rPr>
            <a:t>Responder</a:t>
          </a:r>
          <a:r>
            <a:rPr lang="es-MX" sz="1400" b="1" baseline="0">
              <a:solidFill>
                <a:schemeClr val="tx1"/>
              </a:solidFill>
            </a:rPr>
            <a:t> lo siguiente:</a:t>
          </a:r>
          <a:endParaRPr lang="es-MX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1743075</xdr:colOff>
      <xdr:row>11</xdr:row>
      <xdr:rowOff>628650</xdr:rowOff>
    </xdr:from>
    <xdr:to>
      <xdr:col>5</xdr:col>
      <xdr:colOff>342900</xdr:colOff>
      <xdr:row>13</xdr:row>
      <xdr:rowOff>9525</xdr:rowOff>
    </xdr:to>
    <xdr:sp macro="" textlink="">
      <xdr:nvSpPr>
        <xdr:cNvPr id="5" name="Flecha: a la derecha 4">
          <a:extLst>
            <a:ext uri="{FF2B5EF4-FFF2-40B4-BE49-F238E27FC236}">
              <a16:creationId xmlns:a16="http://schemas.microsoft.com/office/drawing/2014/main" xmlns="" id="{FE733BEE-AF2B-4FD4-B0E5-E4C0B66DF035}"/>
            </a:ext>
          </a:extLst>
        </xdr:cNvPr>
        <xdr:cNvSpPr/>
      </xdr:nvSpPr>
      <xdr:spPr>
        <a:xfrm>
          <a:off x="7915275" y="3057525"/>
          <a:ext cx="781050" cy="676275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chemeClr val="tx1"/>
              </a:solidFill>
            </a:rPr>
            <a:t>(</a:t>
          </a:r>
          <a:r>
            <a:rPr lang="es-MX" sz="1800" b="1" baseline="0">
              <a:solidFill>
                <a:schemeClr val="tx1"/>
              </a:solidFill>
            </a:rPr>
            <a:t> = )</a:t>
          </a:r>
          <a:endParaRPr lang="es-MX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295154</xdr:colOff>
      <xdr:row>7</xdr:row>
      <xdr:rowOff>192437</xdr:rowOff>
    </xdr:from>
    <xdr:to>
      <xdr:col>18</xdr:col>
      <xdr:colOff>16423</xdr:colOff>
      <xdr:row>30</xdr:row>
      <xdr:rowOff>16422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53657</xdr:colOff>
      <xdr:row>0</xdr:row>
      <xdr:rowOff>93907</xdr:rowOff>
    </xdr:from>
    <xdr:to>
      <xdr:col>1</xdr:col>
      <xdr:colOff>1140315</xdr:colOff>
      <xdr:row>4</xdr:row>
      <xdr:rowOff>107424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9291" y="93907"/>
          <a:ext cx="1086658" cy="778200"/>
        </a:xfrm>
        <a:prstGeom prst="rect">
          <a:avLst/>
        </a:prstGeom>
      </xdr:spPr>
    </xdr:pic>
    <xdr:clientData/>
  </xdr:twoCellAnchor>
  <xdr:twoCellAnchor>
    <xdr:from>
      <xdr:col>15</xdr:col>
      <xdr:colOff>159658</xdr:colOff>
      <xdr:row>3</xdr:row>
      <xdr:rowOff>119745</xdr:rowOff>
    </xdr:from>
    <xdr:to>
      <xdr:col>18</xdr:col>
      <xdr:colOff>248558</xdr:colOff>
      <xdr:row>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E313C257-C9A2-4542-AB46-98BA7591B6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799d1fadf843bf0f/Documentos/Plan%20de%20Vida%20Individual%20Line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 de tiempo del proyecto"/>
      <sheetName val="Datos del proyecto ordenados"/>
    </sheetNames>
    <sheetDataSet>
      <sheetData sheetId="0"/>
      <sheetData sheetId="1">
        <row r="4">
          <cell r="C4">
            <v>9</v>
          </cell>
        </row>
        <row r="5">
          <cell r="C5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69"/>
  <sheetViews>
    <sheetView topLeftCell="A40" zoomScaleNormal="100" workbookViewId="0">
      <selection activeCell="D65" sqref="D65:N69"/>
    </sheetView>
  </sheetViews>
  <sheetFormatPr baseColWidth="10" defaultColWidth="11.5703125" defaultRowHeight="15" x14ac:dyDescent="0.25"/>
  <cols>
    <col min="1" max="1" width="2.85546875" customWidth="1"/>
    <col min="2" max="3" width="6.42578125" customWidth="1"/>
    <col min="4" max="4" width="9.28515625" bestFit="1" customWidth="1"/>
    <col min="5" max="5" width="13" customWidth="1"/>
    <col min="6" max="6" width="14.7109375" customWidth="1"/>
    <col min="7" max="10" width="13.7109375" customWidth="1"/>
    <col min="11" max="11" width="14.85546875" customWidth="1"/>
    <col min="12" max="12" width="11.5703125" bestFit="1" customWidth="1"/>
    <col min="13" max="13" width="9.42578125" bestFit="1" customWidth="1"/>
    <col min="14" max="14" width="14.85546875" customWidth="1"/>
    <col min="15" max="16" width="6.140625" customWidth="1"/>
    <col min="17" max="17" width="9" customWidth="1"/>
    <col min="18" max="18" width="12.140625" customWidth="1"/>
    <col min="19" max="19" width="10.42578125" customWidth="1"/>
    <col min="20" max="20" width="12.140625" customWidth="1"/>
    <col min="21" max="21" width="8" customWidth="1"/>
    <col min="22" max="22" width="9.5703125" bestFit="1" customWidth="1"/>
    <col min="23" max="23" width="7" bestFit="1" customWidth="1"/>
    <col min="24" max="24" width="11.42578125" customWidth="1"/>
  </cols>
  <sheetData>
    <row r="1" spans="1:54" ht="26.25" x14ac:dyDescent="0.4">
      <c r="F1" s="136" t="s">
        <v>6</v>
      </c>
      <c r="G1" s="136"/>
      <c r="H1" s="136"/>
      <c r="I1" s="136"/>
      <c r="J1" s="136"/>
      <c r="K1" s="136"/>
      <c r="L1" s="136"/>
      <c r="M1" s="136"/>
      <c r="N1" s="136"/>
    </row>
    <row r="2" spans="1:54" ht="26.25" x14ac:dyDescent="0.4">
      <c r="F2" s="136" t="s">
        <v>7</v>
      </c>
      <c r="G2" s="136"/>
      <c r="H2" s="136"/>
      <c r="I2" s="136"/>
      <c r="J2" s="136"/>
      <c r="K2" s="136"/>
      <c r="L2" s="136"/>
      <c r="M2" s="136"/>
      <c r="N2" s="136"/>
      <c r="Q2" s="156" t="s">
        <v>33</v>
      </c>
      <c r="R2" s="157"/>
      <c r="S2" s="157"/>
      <c r="T2" s="158"/>
      <c r="AX2" s="137" t="s">
        <v>42</v>
      </c>
      <c r="AY2" s="137"/>
      <c r="BA2" s="137" t="s">
        <v>59</v>
      </c>
      <c r="BB2" s="137"/>
    </row>
    <row r="3" spans="1:54" x14ac:dyDescent="0.25">
      <c r="E3" s="29"/>
      <c r="F3" s="137" t="s">
        <v>10</v>
      </c>
      <c r="G3" s="137"/>
      <c r="H3" s="137"/>
      <c r="I3" s="137"/>
      <c r="J3" s="137"/>
      <c r="K3" s="137"/>
      <c r="L3" s="137"/>
      <c r="M3" s="137"/>
      <c r="N3" s="137"/>
      <c r="Q3" s="3" t="s">
        <v>31</v>
      </c>
      <c r="R3" s="87">
        <v>170000</v>
      </c>
      <c r="S3" s="3" t="s">
        <v>8</v>
      </c>
      <c r="T3" s="87" t="s">
        <v>38</v>
      </c>
      <c r="AY3" t="s">
        <v>44</v>
      </c>
      <c r="BA3" t="s">
        <v>46</v>
      </c>
    </row>
    <row r="4" spans="1:54" x14ac:dyDescent="0.25">
      <c r="I4" t="s">
        <v>8</v>
      </c>
      <c r="J4" s="24" t="str">
        <f>+T3</f>
        <v>Manuel de los Santos</v>
      </c>
      <c r="Q4" s="3" t="s">
        <v>36</v>
      </c>
      <c r="R4" s="87">
        <v>3800</v>
      </c>
      <c r="S4" s="3"/>
      <c r="T4" s="90">
        <v>4.4999999999999998E-2</v>
      </c>
      <c r="AY4" t="s">
        <v>43</v>
      </c>
      <c r="BA4" t="s">
        <v>47</v>
      </c>
    </row>
    <row r="5" spans="1:54" x14ac:dyDescent="0.25">
      <c r="I5" s="54" t="s">
        <v>14</v>
      </c>
      <c r="J5" s="55" t="s">
        <v>12</v>
      </c>
      <c r="K5" s="54" t="s">
        <v>15</v>
      </c>
      <c r="L5" s="54" t="s">
        <v>16</v>
      </c>
      <c r="N5" s="143" t="s">
        <v>27</v>
      </c>
      <c r="Q5" s="3" t="s">
        <v>37</v>
      </c>
      <c r="R5" s="87">
        <v>0</v>
      </c>
      <c r="S5" s="3"/>
      <c r="T5" s="87"/>
      <c r="AX5" t="s">
        <v>45</v>
      </c>
      <c r="BA5" t="s">
        <v>48</v>
      </c>
    </row>
    <row r="6" spans="1:54" x14ac:dyDescent="0.25">
      <c r="H6" s="27" t="s">
        <v>40</v>
      </c>
      <c r="I6" s="26">
        <f>+R4</f>
        <v>3800</v>
      </c>
      <c r="J6" s="20">
        <f>+I6*D12</f>
        <v>23826</v>
      </c>
      <c r="K6" s="68">
        <f>+J6/12</f>
        <v>1985.5</v>
      </c>
      <c r="L6" s="141">
        <f>+K6+K7</f>
        <v>1985.5</v>
      </c>
      <c r="N6" s="144"/>
      <c r="Q6" s="3" t="s">
        <v>41</v>
      </c>
      <c r="R6" s="88" t="s">
        <v>99</v>
      </c>
      <c r="S6" s="3"/>
      <c r="T6" s="88"/>
      <c r="AX6" t="s">
        <v>50</v>
      </c>
      <c r="BA6" t="s">
        <v>66</v>
      </c>
    </row>
    <row r="7" spans="1:54" x14ac:dyDescent="0.25">
      <c r="H7" s="28" t="s">
        <v>39</v>
      </c>
      <c r="I7" s="25">
        <f>+R5</f>
        <v>0</v>
      </c>
      <c r="J7" s="19">
        <f>+I7*D12</f>
        <v>0</v>
      </c>
      <c r="K7" s="69">
        <f>+J7/12</f>
        <v>0</v>
      </c>
      <c r="L7" s="142"/>
      <c r="M7" s="7"/>
      <c r="N7" s="42">
        <f>+T4</f>
        <v>4.4999999999999998E-2</v>
      </c>
      <c r="Q7" s="3" t="s">
        <v>1</v>
      </c>
      <c r="R7" s="88">
        <v>29</v>
      </c>
      <c r="S7" s="3"/>
      <c r="T7" s="88"/>
      <c r="V7" s="5">
        <v>0</v>
      </c>
      <c r="X7" s="5">
        <f>+N7+V7</f>
        <v>4.4999999999999998E-2</v>
      </c>
      <c r="AX7" t="s">
        <v>51</v>
      </c>
      <c r="BA7" t="s">
        <v>67</v>
      </c>
    </row>
    <row r="8" spans="1:54" x14ac:dyDescent="0.25">
      <c r="Q8" s="3" t="s">
        <v>32</v>
      </c>
      <c r="R8" s="88">
        <v>21</v>
      </c>
      <c r="S8" s="3"/>
      <c r="T8" s="88"/>
      <c r="V8" s="5"/>
      <c r="X8" s="5"/>
      <c r="AX8" t="s">
        <v>53</v>
      </c>
      <c r="BA8" t="s">
        <v>68</v>
      </c>
    </row>
    <row r="9" spans="1:54" x14ac:dyDescent="0.25">
      <c r="A9" s="145" t="s">
        <v>17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7"/>
      <c r="V9" s="145" t="s">
        <v>18</v>
      </c>
      <c r="W9" s="146"/>
      <c r="X9" s="146"/>
      <c r="AX9" t="s">
        <v>54</v>
      </c>
      <c r="BA9" t="s">
        <v>52</v>
      </c>
    </row>
    <row r="10" spans="1:54" ht="15" customHeight="1" x14ac:dyDescent="0.25">
      <c r="A10" s="148" t="s">
        <v>23</v>
      </c>
      <c r="B10" s="148" t="s">
        <v>0</v>
      </c>
      <c r="C10" s="148" t="s">
        <v>1</v>
      </c>
      <c r="D10" s="148" t="s">
        <v>3</v>
      </c>
      <c r="E10" s="148" t="s">
        <v>2</v>
      </c>
      <c r="F10" s="148"/>
      <c r="G10" s="138" t="s">
        <v>9</v>
      </c>
      <c r="H10" s="139"/>
      <c r="I10" s="139"/>
      <c r="J10" s="140"/>
      <c r="K10" s="138" t="s">
        <v>13</v>
      </c>
      <c r="L10" s="139"/>
      <c r="M10" s="139"/>
      <c r="N10" s="140"/>
      <c r="V10" s="154" t="s">
        <v>0</v>
      </c>
      <c r="W10" s="154" t="s">
        <v>1</v>
      </c>
      <c r="X10" s="154" t="s">
        <v>3</v>
      </c>
      <c r="AX10" t="s">
        <v>55</v>
      </c>
      <c r="BA10" t="s">
        <v>57</v>
      </c>
    </row>
    <row r="11" spans="1:54" x14ac:dyDescent="0.25">
      <c r="A11" s="148"/>
      <c r="B11" s="148"/>
      <c r="C11" s="148"/>
      <c r="D11" s="148"/>
      <c r="E11" s="89" t="s">
        <v>4</v>
      </c>
      <c r="F11" s="89" t="s">
        <v>5</v>
      </c>
      <c r="G11" s="32" t="s">
        <v>4</v>
      </c>
      <c r="H11" s="34" t="s">
        <v>21</v>
      </c>
      <c r="I11" s="35" t="s">
        <v>5</v>
      </c>
      <c r="J11" s="33" t="s">
        <v>28</v>
      </c>
      <c r="K11" s="6" t="s">
        <v>4</v>
      </c>
      <c r="L11" s="91" t="s">
        <v>5</v>
      </c>
      <c r="M11" s="91" t="s">
        <v>11</v>
      </c>
      <c r="N11" s="91" t="s">
        <v>29</v>
      </c>
      <c r="Q11" s="4" t="s">
        <v>1</v>
      </c>
      <c r="R11" s="4" t="s">
        <v>35</v>
      </c>
      <c r="S11" s="4" t="s">
        <v>34</v>
      </c>
      <c r="V11" s="155"/>
      <c r="W11" s="155"/>
      <c r="X11" s="155"/>
      <c r="AX11" t="s">
        <v>56</v>
      </c>
      <c r="BA11" t="s">
        <v>65</v>
      </c>
    </row>
    <row r="12" spans="1:54" x14ac:dyDescent="0.25">
      <c r="A12" s="8">
        <v>1</v>
      </c>
      <c r="B12" s="9">
        <f ca="1">YEAR(TODAY())</f>
        <v>2020</v>
      </c>
      <c r="C12" s="9">
        <f>+R7</f>
        <v>29</v>
      </c>
      <c r="D12" s="83">
        <v>6.27</v>
      </c>
      <c r="E12" s="16">
        <f>+R3</f>
        <v>170000</v>
      </c>
      <c r="F12" s="10">
        <f>+E12*D12</f>
        <v>1065900</v>
      </c>
      <c r="G12" s="16">
        <f t="shared" ref="G12:G54" si="0">IF(A12&gt;$R$8,0,IF(C12&gt;=65,"",$I$6+$I$7))</f>
        <v>3800</v>
      </c>
      <c r="H12" s="36">
        <f>+I12/12</f>
        <v>1985.5</v>
      </c>
      <c r="I12" s="37">
        <f>G12*D12</f>
        <v>23826</v>
      </c>
      <c r="J12" s="10">
        <f>+I12</f>
        <v>23826</v>
      </c>
      <c r="K12" s="16">
        <f>+R12</f>
        <v>0</v>
      </c>
      <c r="L12" s="20">
        <f t="shared" ref="L12:L54" si="1">K12*X12</f>
        <v>0</v>
      </c>
      <c r="M12" s="21" t="str">
        <f t="shared" ref="M12:M20" si="2">IF(L12/J12-1&lt;0,"",L12/J12-1)</f>
        <v/>
      </c>
      <c r="N12" s="10">
        <f>+I12*0.3</f>
        <v>7147.8</v>
      </c>
      <c r="Q12" s="70">
        <f>+C12</f>
        <v>29</v>
      </c>
      <c r="R12" s="84"/>
      <c r="S12" s="70" t="str">
        <f>+IF(Q12&gt;64,"OCULTAR","")</f>
        <v/>
      </c>
      <c r="V12" s="74">
        <f ca="1">+B12</f>
        <v>2020</v>
      </c>
      <c r="W12" s="75">
        <f>+C12</f>
        <v>29</v>
      </c>
      <c r="X12" s="76">
        <f>+D12</f>
        <v>6.27</v>
      </c>
      <c r="AX12" t="s">
        <v>58</v>
      </c>
      <c r="BB12" t="s">
        <v>71</v>
      </c>
    </row>
    <row r="13" spans="1:54" x14ac:dyDescent="0.25">
      <c r="A13" s="11">
        <f>+A12+1</f>
        <v>2</v>
      </c>
      <c r="B13" s="44">
        <f ca="1">IF(C13&gt;=65,"",B12+1)</f>
        <v>2021</v>
      </c>
      <c r="C13" s="44">
        <f>C12+1</f>
        <v>30</v>
      </c>
      <c r="D13" s="50">
        <f>IF(C13&gt;=65,"",D12*(1+($N$7)))</f>
        <v>6.5521499999999993</v>
      </c>
      <c r="E13" s="17">
        <f>+E12</f>
        <v>170000</v>
      </c>
      <c r="F13" s="12">
        <f t="shared" ref="F13:F26" si="3">+E13*D13</f>
        <v>1113865.4999999998</v>
      </c>
      <c r="G13" s="17">
        <f t="shared" si="0"/>
        <v>3800</v>
      </c>
      <c r="H13" s="38">
        <f t="shared" ref="H13:H29" si="4">+I13/12</f>
        <v>2074.8474999999999</v>
      </c>
      <c r="I13" s="39">
        <f t="shared" ref="I13:I29" si="5">G13*D13</f>
        <v>24898.17</v>
      </c>
      <c r="J13" s="12">
        <f>+J12+I13</f>
        <v>48724.17</v>
      </c>
      <c r="K13" s="17">
        <f t="shared" ref="K13:K54" si="6">+R13</f>
        <v>0</v>
      </c>
      <c r="L13" s="46">
        <f t="shared" si="1"/>
        <v>0</v>
      </c>
      <c r="M13" s="22" t="str">
        <f t="shared" si="2"/>
        <v/>
      </c>
      <c r="N13" s="12">
        <f t="shared" ref="N13:N54" si="7">+I13*0.3</f>
        <v>7469.4509999999991</v>
      </c>
      <c r="Q13" s="71">
        <f t="shared" ref="Q13:Q54" si="8">+C13</f>
        <v>30</v>
      </c>
      <c r="R13" s="85"/>
      <c r="S13" s="71" t="str">
        <f t="shared" ref="S13:S54" si="9">+IF(Q13&gt;64,"OCULTAR","")</f>
        <v/>
      </c>
      <c r="V13" s="77">
        <f t="shared" ref="V13:V54" ca="1" si="10">+B13</f>
        <v>2021</v>
      </c>
      <c r="W13" s="45">
        <f t="shared" ref="W13:W54" si="11">+C13</f>
        <v>30</v>
      </c>
      <c r="X13" s="78">
        <f>+X12*(1+($X$7))</f>
        <v>6.5521499999999993</v>
      </c>
      <c r="AX13" t="s">
        <v>60</v>
      </c>
    </row>
    <row r="14" spans="1:54" x14ac:dyDescent="0.25">
      <c r="A14" s="13">
        <f t="shared" ref="A14:A54" si="12">+A13+1</f>
        <v>3</v>
      </c>
      <c r="B14" s="47">
        <f t="shared" ref="B14:B54" ca="1" si="13">IF(C14&gt;=65,"",B13+1)</f>
        <v>2022</v>
      </c>
      <c r="C14" s="47">
        <f>C13+1</f>
        <v>31</v>
      </c>
      <c r="D14" s="51">
        <f t="shared" ref="D14:D54" si="14">IF(C14&gt;=65,"",D13*(1+($N$7)))</f>
        <v>6.8469967499999989</v>
      </c>
      <c r="E14" s="18">
        <f t="shared" ref="E14:E54" si="15">+E13</f>
        <v>170000</v>
      </c>
      <c r="F14" s="14">
        <f t="shared" si="3"/>
        <v>1163989.4474999998</v>
      </c>
      <c r="G14" s="18">
        <f t="shared" si="0"/>
        <v>3800</v>
      </c>
      <c r="H14" s="40">
        <f t="shared" si="4"/>
        <v>2168.2156374999995</v>
      </c>
      <c r="I14" s="41">
        <f t="shared" si="5"/>
        <v>26018.587649999994</v>
      </c>
      <c r="J14" s="14">
        <f t="shared" ref="J14:J26" si="16">+J13+I14</f>
        <v>74742.757649999985</v>
      </c>
      <c r="K14" s="18">
        <f t="shared" si="6"/>
        <v>0</v>
      </c>
      <c r="L14" s="48">
        <f t="shared" si="1"/>
        <v>0</v>
      </c>
      <c r="M14" s="23" t="str">
        <f t="shared" si="2"/>
        <v/>
      </c>
      <c r="N14" s="14">
        <f t="shared" si="7"/>
        <v>7805.576294999998</v>
      </c>
      <c r="Q14" s="72">
        <f t="shared" si="8"/>
        <v>31</v>
      </c>
      <c r="R14" s="85"/>
      <c r="S14" s="72" t="str">
        <f t="shared" si="9"/>
        <v/>
      </c>
      <c r="V14" s="79">
        <f t="shared" ca="1" si="10"/>
        <v>2022</v>
      </c>
      <c r="W14" s="43">
        <f t="shared" si="11"/>
        <v>31</v>
      </c>
      <c r="X14" s="80">
        <f t="shared" ref="X14:X53" si="17">+X13*(1+($X$7))</f>
        <v>6.8469967499999989</v>
      </c>
      <c r="AX14" t="s">
        <v>61</v>
      </c>
    </row>
    <row r="15" spans="1:54" x14ac:dyDescent="0.25">
      <c r="A15" s="11">
        <f t="shared" si="12"/>
        <v>4</v>
      </c>
      <c r="B15" s="44">
        <f t="shared" ca="1" si="13"/>
        <v>2023</v>
      </c>
      <c r="C15" s="44">
        <f t="shared" ref="C15:C54" si="18">C14+1</f>
        <v>32</v>
      </c>
      <c r="D15" s="50">
        <f t="shared" si="14"/>
        <v>7.1551116037499982</v>
      </c>
      <c r="E15" s="17">
        <f t="shared" si="15"/>
        <v>170000</v>
      </c>
      <c r="F15" s="12">
        <f t="shared" si="3"/>
        <v>1216368.9726374997</v>
      </c>
      <c r="G15" s="17">
        <f t="shared" si="0"/>
        <v>3800</v>
      </c>
      <c r="H15" s="38">
        <f t="shared" si="4"/>
        <v>2265.7853411874994</v>
      </c>
      <c r="I15" s="39">
        <f t="shared" si="5"/>
        <v>27189.424094249993</v>
      </c>
      <c r="J15" s="12">
        <f t="shared" si="16"/>
        <v>101932.18174424997</v>
      </c>
      <c r="K15" s="17">
        <f t="shared" si="6"/>
        <v>0</v>
      </c>
      <c r="L15" s="46">
        <f t="shared" si="1"/>
        <v>0</v>
      </c>
      <c r="M15" s="22" t="str">
        <f t="shared" si="2"/>
        <v/>
      </c>
      <c r="N15" s="12">
        <f t="shared" si="7"/>
        <v>8156.8272282749977</v>
      </c>
      <c r="Q15" s="71">
        <f t="shared" si="8"/>
        <v>32</v>
      </c>
      <c r="R15" s="85"/>
      <c r="S15" s="71" t="str">
        <f t="shared" si="9"/>
        <v/>
      </c>
      <c r="V15" s="77">
        <f t="shared" ca="1" si="10"/>
        <v>2023</v>
      </c>
      <c r="W15" s="45">
        <f t="shared" si="11"/>
        <v>32</v>
      </c>
      <c r="X15" s="78">
        <f t="shared" si="17"/>
        <v>7.1551116037499982</v>
      </c>
      <c r="AX15" t="s">
        <v>62</v>
      </c>
    </row>
    <row r="16" spans="1:54" x14ac:dyDescent="0.25">
      <c r="A16" s="13">
        <f t="shared" si="12"/>
        <v>5</v>
      </c>
      <c r="B16" s="47">
        <f t="shared" ca="1" si="13"/>
        <v>2024</v>
      </c>
      <c r="C16" s="47">
        <f t="shared" si="18"/>
        <v>33</v>
      </c>
      <c r="D16" s="51">
        <f t="shared" si="14"/>
        <v>7.4770916259187477</v>
      </c>
      <c r="E16" s="18">
        <f t="shared" si="15"/>
        <v>170000</v>
      </c>
      <c r="F16" s="14">
        <f t="shared" si="3"/>
        <v>1271105.5764061871</v>
      </c>
      <c r="G16" s="18">
        <f t="shared" si="0"/>
        <v>3800</v>
      </c>
      <c r="H16" s="40">
        <f t="shared" si="4"/>
        <v>2367.7456815409369</v>
      </c>
      <c r="I16" s="41">
        <f t="shared" si="5"/>
        <v>28412.948178491242</v>
      </c>
      <c r="J16" s="14">
        <f t="shared" si="16"/>
        <v>130345.12992274121</v>
      </c>
      <c r="K16" s="18">
        <f t="shared" si="6"/>
        <v>0</v>
      </c>
      <c r="L16" s="48">
        <f t="shared" si="1"/>
        <v>0</v>
      </c>
      <c r="M16" s="23" t="str">
        <f t="shared" si="2"/>
        <v/>
      </c>
      <c r="N16" s="14">
        <f t="shared" si="7"/>
        <v>8523.8844535473727</v>
      </c>
      <c r="Q16" s="72">
        <f t="shared" si="8"/>
        <v>33</v>
      </c>
      <c r="R16" s="85"/>
      <c r="S16" s="72" t="str">
        <f t="shared" si="9"/>
        <v/>
      </c>
      <c r="V16" s="79">
        <f t="shared" ca="1" si="10"/>
        <v>2024</v>
      </c>
      <c r="W16" s="43">
        <f t="shared" si="11"/>
        <v>33</v>
      </c>
      <c r="X16" s="80">
        <f t="shared" si="17"/>
        <v>7.4770916259187477</v>
      </c>
      <c r="AX16" t="s">
        <v>63</v>
      </c>
    </row>
    <row r="17" spans="1:50" x14ac:dyDescent="0.25">
      <c r="A17" s="11">
        <f t="shared" si="12"/>
        <v>6</v>
      </c>
      <c r="B17" s="44">
        <f t="shared" ca="1" si="13"/>
        <v>2025</v>
      </c>
      <c r="C17" s="44">
        <f t="shared" si="18"/>
        <v>34</v>
      </c>
      <c r="D17" s="50">
        <f t="shared" si="14"/>
        <v>7.8135607490850907</v>
      </c>
      <c r="E17" s="17">
        <f t="shared" si="15"/>
        <v>170000</v>
      </c>
      <c r="F17" s="12">
        <f t="shared" si="3"/>
        <v>1328305.3273444653</v>
      </c>
      <c r="G17" s="17">
        <f t="shared" si="0"/>
        <v>3800</v>
      </c>
      <c r="H17" s="38">
        <f t="shared" si="4"/>
        <v>2474.2942372102784</v>
      </c>
      <c r="I17" s="39">
        <f t="shared" si="5"/>
        <v>29691.530846523343</v>
      </c>
      <c r="J17" s="12">
        <f t="shared" si="16"/>
        <v>160036.66076926456</v>
      </c>
      <c r="K17" s="17">
        <f t="shared" si="6"/>
        <v>0</v>
      </c>
      <c r="L17" s="46">
        <f t="shared" si="1"/>
        <v>0</v>
      </c>
      <c r="M17" s="22" t="str">
        <f t="shared" si="2"/>
        <v/>
      </c>
      <c r="N17" s="12">
        <f t="shared" si="7"/>
        <v>8907.4592539570021</v>
      </c>
      <c r="Q17" s="71">
        <f t="shared" si="8"/>
        <v>34</v>
      </c>
      <c r="R17" s="85"/>
      <c r="S17" s="71" t="str">
        <f t="shared" si="9"/>
        <v/>
      </c>
      <c r="V17" s="77">
        <f t="shared" ca="1" si="10"/>
        <v>2025</v>
      </c>
      <c r="W17" s="45">
        <f t="shared" si="11"/>
        <v>34</v>
      </c>
      <c r="X17" s="78">
        <f t="shared" si="17"/>
        <v>7.8135607490850907</v>
      </c>
      <c r="AX17" t="s">
        <v>64</v>
      </c>
    </row>
    <row r="18" spans="1:50" x14ac:dyDescent="0.25">
      <c r="A18" s="13">
        <f t="shared" si="12"/>
        <v>7</v>
      </c>
      <c r="B18" s="47">
        <f t="shared" ca="1" si="13"/>
        <v>2026</v>
      </c>
      <c r="C18" s="47">
        <f t="shared" si="18"/>
        <v>35</v>
      </c>
      <c r="D18" s="51">
        <f t="shared" si="14"/>
        <v>8.165170982793919</v>
      </c>
      <c r="E18" s="18">
        <f t="shared" si="15"/>
        <v>170000</v>
      </c>
      <c r="F18" s="14">
        <f t="shared" si="3"/>
        <v>1388079.0670749662</v>
      </c>
      <c r="G18" s="18">
        <f t="shared" si="0"/>
        <v>3800</v>
      </c>
      <c r="H18" s="40">
        <f t="shared" si="4"/>
        <v>2585.6374778847407</v>
      </c>
      <c r="I18" s="41">
        <f t="shared" si="5"/>
        <v>31027.649734616891</v>
      </c>
      <c r="J18" s="14">
        <f t="shared" si="16"/>
        <v>191064.31050388145</v>
      </c>
      <c r="K18" s="18">
        <f t="shared" si="6"/>
        <v>0</v>
      </c>
      <c r="L18" s="48">
        <f t="shared" si="1"/>
        <v>0</v>
      </c>
      <c r="M18" s="23" t="str">
        <f t="shared" si="2"/>
        <v/>
      </c>
      <c r="N18" s="14">
        <f t="shared" si="7"/>
        <v>9308.2949203850676</v>
      </c>
      <c r="Q18" s="72">
        <f t="shared" si="8"/>
        <v>35</v>
      </c>
      <c r="R18" s="85"/>
      <c r="S18" s="72" t="str">
        <f t="shared" si="9"/>
        <v/>
      </c>
      <c r="V18" s="79">
        <f t="shared" ca="1" si="10"/>
        <v>2026</v>
      </c>
      <c r="W18" s="43">
        <f t="shared" si="11"/>
        <v>35</v>
      </c>
      <c r="X18" s="80">
        <f t="shared" si="17"/>
        <v>8.165170982793919</v>
      </c>
      <c r="AX18" t="s">
        <v>49</v>
      </c>
    </row>
    <row r="19" spans="1:50" x14ac:dyDescent="0.25">
      <c r="A19" s="11">
        <f t="shared" si="12"/>
        <v>8</v>
      </c>
      <c r="B19" s="44">
        <f t="shared" ca="1" si="13"/>
        <v>2027</v>
      </c>
      <c r="C19" s="44">
        <f t="shared" si="18"/>
        <v>36</v>
      </c>
      <c r="D19" s="50">
        <f t="shared" si="14"/>
        <v>8.5326036770196438</v>
      </c>
      <c r="E19" s="45">
        <f t="shared" si="15"/>
        <v>170000</v>
      </c>
      <c r="F19" s="12">
        <f t="shared" si="3"/>
        <v>1450542.6250933395</v>
      </c>
      <c r="G19" s="17">
        <f t="shared" si="0"/>
        <v>3800</v>
      </c>
      <c r="H19" s="38">
        <f t="shared" si="4"/>
        <v>2701.9911643895539</v>
      </c>
      <c r="I19" s="39">
        <f t="shared" si="5"/>
        <v>32423.893972674647</v>
      </c>
      <c r="J19" s="12">
        <f t="shared" si="16"/>
        <v>223488.2044765561</v>
      </c>
      <c r="K19" s="17">
        <f t="shared" si="6"/>
        <v>0</v>
      </c>
      <c r="L19" s="46">
        <f t="shared" si="1"/>
        <v>0</v>
      </c>
      <c r="M19" s="22" t="str">
        <f t="shared" si="2"/>
        <v/>
      </c>
      <c r="N19" s="12">
        <f t="shared" si="7"/>
        <v>9727.1681918023933</v>
      </c>
      <c r="Q19" s="71">
        <f t="shared" si="8"/>
        <v>36</v>
      </c>
      <c r="R19" s="85"/>
      <c r="S19" s="71" t="str">
        <f t="shared" si="9"/>
        <v/>
      </c>
      <c r="V19" s="77">
        <f t="shared" ca="1" si="10"/>
        <v>2027</v>
      </c>
      <c r="W19" s="45">
        <f t="shared" si="11"/>
        <v>36</v>
      </c>
      <c r="X19" s="78">
        <f t="shared" si="17"/>
        <v>8.5326036770196438</v>
      </c>
      <c r="AX19" t="s">
        <v>69</v>
      </c>
    </row>
    <row r="20" spans="1:50" x14ac:dyDescent="0.25">
      <c r="A20" s="13">
        <f t="shared" si="12"/>
        <v>9</v>
      </c>
      <c r="B20" s="47">
        <f t="shared" ca="1" si="13"/>
        <v>2028</v>
      </c>
      <c r="C20" s="47">
        <f t="shared" si="18"/>
        <v>37</v>
      </c>
      <c r="D20" s="51">
        <f t="shared" si="14"/>
        <v>8.9165708424855268</v>
      </c>
      <c r="E20" s="43">
        <f t="shared" si="15"/>
        <v>170000</v>
      </c>
      <c r="F20" s="14">
        <f t="shared" si="3"/>
        <v>1515817.0432225396</v>
      </c>
      <c r="G20" s="18">
        <f t="shared" si="0"/>
        <v>3800</v>
      </c>
      <c r="H20" s="40">
        <f t="shared" si="4"/>
        <v>2823.5807667870836</v>
      </c>
      <c r="I20" s="41">
        <f t="shared" si="5"/>
        <v>33882.969201445005</v>
      </c>
      <c r="J20" s="14">
        <f t="shared" si="16"/>
        <v>257371.1736780011</v>
      </c>
      <c r="K20" s="18">
        <f t="shared" si="6"/>
        <v>0</v>
      </c>
      <c r="L20" s="48">
        <f t="shared" si="1"/>
        <v>0</v>
      </c>
      <c r="M20" s="23" t="str">
        <f t="shared" si="2"/>
        <v/>
      </c>
      <c r="N20" s="14">
        <f t="shared" si="7"/>
        <v>10164.890760433502</v>
      </c>
      <c r="Q20" s="72">
        <f t="shared" si="8"/>
        <v>37</v>
      </c>
      <c r="R20" s="85"/>
      <c r="S20" s="72" t="str">
        <f t="shared" si="9"/>
        <v/>
      </c>
      <c r="V20" s="79">
        <f t="shared" ca="1" si="10"/>
        <v>2028</v>
      </c>
      <c r="W20" s="43">
        <f t="shared" si="11"/>
        <v>37</v>
      </c>
      <c r="X20" s="80">
        <f t="shared" si="17"/>
        <v>8.9165708424855268</v>
      </c>
      <c r="AX20" t="s">
        <v>43</v>
      </c>
    </row>
    <row r="21" spans="1:50" x14ac:dyDescent="0.25">
      <c r="A21" s="11">
        <f t="shared" si="12"/>
        <v>10</v>
      </c>
      <c r="B21" s="44">
        <f t="shared" ca="1" si="13"/>
        <v>2029</v>
      </c>
      <c r="C21" s="44">
        <f t="shared" si="18"/>
        <v>38</v>
      </c>
      <c r="D21" s="50">
        <f t="shared" si="14"/>
        <v>9.3178165303973746</v>
      </c>
      <c r="E21" s="45">
        <f t="shared" si="15"/>
        <v>170000</v>
      </c>
      <c r="F21" s="12">
        <f t="shared" si="3"/>
        <v>1584028.8101675536</v>
      </c>
      <c r="G21" s="52">
        <f t="shared" si="0"/>
        <v>3800</v>
      </c>
      <c r="H21" s="46">
        <f t="shared" si="4"/>
        <v>2950.6419012925016</v>
      </c>
      <c r="I21" s="39">
        <f t="shared" si="5"/>
        <v>35407.70281551002</v>
      </c>
      <c r="J21" s="12">
        <f t="shared" si="16"/>
        <v>292778.87649351114</v>
      </c>
      <c r="K21" s="17">
        <f t="shared" si="6"/>
        <v>0</v>
      </c>
      <c r="L21" s="46">
        <f t="shared" si="1"/>
        <v>0</v>
      </c>
      <c r="M21" s="22" t="str">
        <f>IF(L21/J21-1&lt;0,"",L21/J21-1)</f>
        <v/>
      </c>
      <c r="N21" s="12">
        <f t="shared" si="7"/>
        <v>10622.310844653006</v>
      </c>
      <c r="Q21" s="71">
        <f t="shared" si="8"/>
        <v>38</v>
      </c>
      <c r="R21" s="85"/>
      <c r="S21" s="71" t="str">
        <f t="shared" si="9"/>
        <v/>
      </c>
      <c r="V21" s="77">
        <f t="shared" ca="1" si="10"/>
        <v>2029</v>
      </c>
      <c r="W21" s="45">
        <f t="shared" si="11"/>
        <v>38</v>
      </c>
      <c r="X21" s="78">
        <f t="shared" si="17"/>
        <v>9.3178165303973746</v>
      </c>
      <c r="AX21" t="s">
        <v>70</v>
      </c>
    </row>
    <row r="22" spans="1:50" x14ac:dyDescent="0.25">
      <c r="A22" s="13">
        <f t="shared" si="12"/>
        <v>11</v>
      </c>
      <c r="B22" s="47">
        <f t="shared" ca="1" si="13"/>
        <v>2030</v>
      </c>
      <c r="C22" s="47">
        <f t="shared" si="18"/>
        <v>39</v>
      </c>
      <c r="D22" s="51">
        <f t="shared" si="14"/>
        <v>9.7371182742652564</v>
      </c>
      <c r="E22" s="43">
        <f t="shared" si="15"/>
        <v>170000</v>
      </c>
      <c r="F22" s="14">
        <f t="shared" si="3"/>
        <v>1655310.1066250936</v>
      </c>
      <c r="G22" s="53">
        <f t="shared" si="0"/>
        <v>3800</v>
      </c>
      <c r="H22" s="40">
        <f t="shared" si="4"/>
        <v>3083.4207868506642</v>
      </c>
      <c r="I22" s="41">
        <f t="shared" si="5"/>
        <v>37001.049442207972</v>
      </c>
      <c r="J22" s="14">
        <f t="shared" si="16"/>
        <v>329779.9259357191</v>
      </c>
      <c r="K22" s="18">
        <f t="shared" si="6"/>
        <v>40196</v>
      </c>
      <c r="L22" s="48">
        <f t="shared" si="1"/>
        <v>391393.20615236624</v>
      </c>
      <c r="M22" s="23">
        <f t="shared" ref="M22:M29" si="19">IF(L22/J22-1&lt;0,"",L22/J22-1)</f>
        <v>0.18683150601670295</v>
      </c>
      <c r="N22" s="14">
        <f t="shared" si="7"/>
        <v>11100.31483266239</v>
      </c>
      <c r="Q22" s="72">
        <f t="shared" si="8"/>
        <v>39</v>
      </c>
      <c r="R22" s="85">
        <v>40196</v>
      </c>
      <c r="S22" s="72" t="str">
        <f t="shared" si="9"/>
        <v/>
      </c>
      <c r="V22" s="79">
        <f t="shared" ca="1" si="10"/>
        <v>2030</v>
      </c>
      <c r="W22" s="43">
        <f t="shared" si="11"/>
        <v>39</v>
      </c>
      <c r="X22" s="80">
        <f t="shared" si="17"/>
        <v>9.7371182742652564</v>
      </c>
    </row>
    <row r="23" spans="1:50" x14ac:dyDescent="0.25">
      <c r="A23" s="11">
        <f t="shared" si="12"/>
        <v>12</v>
      </c>
      <c r="B23" s="44">
        <f t="shared" ca="1" si="13"/>
        <v>2031</v>
      </c>
      <c r="C23" s="44">
        <f t="shared" si="18"/>
        <v>40</v>
      </c>
      <c r="D23" s="50">
        <f t="shared" si="14"/>
        <v>10.175288596607192</v>
      </c>
      <c r="E23" s="45">
        <f t="shared" si="15"/>
        <v>170000</v>
      </c>
      <c r="F23" s="12">
        <f t="shared" si="3"/>
        <v>1729799.0614232228</v>
      </c>
      <c r="G23" s="52">
        <f t="shared" si="0"/>
        <v>3800</v>
      </c>
      <c r="H23" s="46">
        <f t="shared" si="4"/>
        <v>3222.1747222589443</v>
      </c>
      <c r="I23" s="39">
        <f t="shared" si="5"/>
        <v>38666.096667107333</v>
      </c>
      <c r="J23" s="12">
        <f t="shared" si="16"/>
        <v>368446.02260282642</v>
      </c>
      <c r="K23" s="17">
        <f t="shared" si="6"/>
        <v>0</v>
      </c>
      <c r="L23" s="46">
        <f t="shared" si="1"/>
        <v>0</v>
      </c>
      <c r="M23" s="22" t="str">
        <f t="shared" si="19"/>
        <v/>
      </c>
      <c r="N23" s="12">
        <f t="shared" si="7"/>
        <v>11599.8290001322</v>
      </c>
      <c r="Q23" s="71">
        <f t="shared" si="8"/>
        <v>40</v>
      </c>
      <c r="R23" s="85"/>
      <c r="S23" s="71" t="str">
        <f t="shared" si="9"/>
        <v/>
      </c>
      <c r="V23" s="77">
        <f t="shared" ca="1" si="10"/>
        <v>2031</v>
      </c>
      <c r="W23" s="45">
        <f t="shared" si="11"/>
        <v>40</v>
      </c>
      <c r="X23" s="78">
        <f t="shared" si="17"/>
        <v>10.175288596607192</v>
      </c>
    </row>
    <row r="24" spans="1:50" x14ac:dyDescent="0.25">
      <c r="A24" s="13">
        <f t="shared" si="12"/>
        <v>13</v>
      </c>
      <c r="B24" s="47">
        <f t="shared" ca="1" si="13"/>
        <v>2032</v>
      </c>
      <c r="C24" s="47">
        <f t="shared" si="18"/>
        <v>41</v>
      </c>
      <c r="D24" s="51">
        <f t="shared" si="14"/>
        <v>10.633176583454516</v>
      </c>
      <c r="E24" s="43">
        <f t="shared" si="15"/>
        <v>170000</v>
      </c>
      <c r="F24" s="14">
        <f t="shared" si="3"/>
        <v>1807640.0191872676</v>
      </c>
      <c r="G24" s="53">
        <f t="shared" si="0"/>
        <v>3800</v>
      </c>
      <c r="H24" s="40">
        <f t="shared" si="4"/>
        <v>3367.1725847605962</v>
      </c>
      <c r="I24" s="41">
        <f t="shared" si="5"/>
        <v>40406.071017127157</v>
      </c>
      <c r="J24" s="14">
        <f t="shared" si="16"/>
        <v>408852.09361995355</v>
      </c>
      <c r="K24" s="18">
        <f t="shared" si="6"/>
        <v>0</v>
      </c>
      <c r="L24" s="48">
        <f t="shared" si="1"/>
        <v>0</v>
      </c>
      <c r="M24" s="23" t="str">
        <f t="shared" si="19"/>
        <v/>
      </c>
      <c r="N24" s="14">
        <f t="shared" si="7"/>
        <v>12121.821305138146</v>
      </c>
      <c r="Q24" s="72">
        <f t="shared" si="8"/>
        <v>41</v>
      </c>
      <c r="R24" s="85"/>
      <c r="S24" s="72" t="str">
        <f t="shared" si="9"/>
        <v/>
      </c>
      <c r="V24" s="79">
        <f t="shared" ca="1" si="10"/>
        <v>2032</v>
      </c>
      <c r="W24" s="43">
        <f t="shared" si="11"/>
        <v>41</v>
      </c>
      <c r="X24" s="80">
        <f t="shared" si="17"/>
        <v>10.633176583454516</v>
      </c>
    </row>
    <row r="25" spans="1:50" ht="16.5" customHeight="1" x14ac:dyDescent="0.25">
      <c r="A25" s="11">
        <f t="shared" si="12"/>
        <v>14</v>
      </c>
      <c r="B25" s="44">
        <f t="shared" ca="1" si="13"/>
        <v>2033</v>
      </c>
      <c r="C25" s="44">
        <f t="shared" si="18"/>
        <v>42</v>
      </c>
      <c r="D25" s="50">
        <f t="shared" si="14"/>
        <v>11.111669529709967</v>
      </c>
      <c r="E25" s="45">
        <f t="shared" si="15"/>
        <v>170000</v>
      </c>
      <c r="F25" s="12">
        <f t="shared" si="3"/>
        <v>1888983.8200506945</v>
      </c>
      <c r="G25" s="52">
        <f t="shared" si="0"/>
        <v>3800</v>
      </c>
      <c r="H25" s="46">
        <f t="shared" si="4"/>
        <v>3518.6953510748231</v>
      </c>
      <c r="I25" s="39">
        <f t="shared" si="5"/>
        <v>42224.344212897879</v>
      </c>
      <c r="J25" s="12">
        <f t="shared" si="16"/>
        <v>451076.43783285143</v>
      </c>
      <c r="K25" s="17">
        <f t="shared" si="6"/>
        <v>0</v>
      </c>
      <c r="L25" s="46">
        <f t="shared" si="1"/>
        <v>0</v>
      </c>
      <c r="M25" s="22" t="str">
        <f t="shared" si="19"/>
        <v/>
      </c>
      <c r="N25" s="12">
        <f t="shared" si="7"/>
        <v>12667.303263869364</v>
      </c>
      <c r="Q25" s="71">
        <f t="shared" si="8"/>
        <v>42</v>
      </c>
      <c r="R25" s="85"/>
      <c r="S25" s="71" t="str">
        <f t="shared" si="9"/>
        <v/>
      </c>
      <c r="V25" s="77">
        <f t="shared" ca="1" si="10"/>
        <v>2033</v>
      </c>
      <c r="W25" s="45">
        <f t="shared" si="11"/>
        <v>42</v>
      </c>
      <c r="X25" s="78">
        <f t="shared" si="17"/>
        <v>11.111669529709967</v>
      </c>
    </row>
    <row r="26" spans="1:50" ht="16.5" customHeight="1" x14ac:dyDescent="0.25">
      <c r="A26" s="13">
        <f t="shared" si="12"/>
        <v>15</v>
      </c>
      <c r="B26" s="47">
        <f t="shared" ca="1" si="13"/>
        <v>2034</v>
      </c>
      <c r="C26" s="47">
        <f t="shared" si="18"/>
        <v>43</v>
      </c>
      <c r="D26" s="51">
        <f t="shared" si="14"/>
        <v>11.611694658546915</v>
      </c>
      <c r="E26" s="43">
        <f t="shared" si="15"/>
        <v>170000</v>
      </c>
      <c r="F26" s="14">
        <f t="shared" si="3"/>
        <v>1973988.0919529756</v>
      </c>
      <c r="G26" s="53">
        <f t="shared" si="0"/>
        <v>3800</v>
      </c>
      <c r="H26" s="40">
        <f t="shared" si="4"/>
        <v>3677.0366418731896</v>
      </c>
      <c r="I26" s="41">
        <f t="shared" si="5"/>
        <v>44124.439702478274</v>
      </c>
      <c r="J26" s="56">
        <f t="shared" si="16"/>
        <v>495200.87753532972</v>
      </c>
      <c r="K26" s="18">
        <f t="shared" si="6"/>
        <v>0</v>
      </c>
      <c r="L26" s="48">
        <f t="shared" si="1"/>
        <v>0</v>
      </c>
      <c r="M26" s="23" t="str">
        <f t="shared" si="19"/>
        <v/>
      </c>
      <c r="N26" s="14">
        <f t="shared" si="7"/>
        <v>13237.331910743482</v>
      </c>
      <c r="Q26" s="72">
        <f t="shared" si="8"/>
        <v>43</v>
      </c>
      <c r="R26" s="85"/>
      <c r="S26" s="72" t="str">
        <f t="shared" si="9"/>
        <v/>
      </c>
      <c r="V26" s="79">
        <f t="shared" ca="1" si="10"/>
        <v>2034</v>
      </c>
      <c r="W26" s="43">
        <f t="shared" si="11"/>
        <v>43</v>
      </c>
      <c r="X26" s="80">
        <f t="shared" si="17"/>
        <v>11.611694658546915</v>
      </c>
    </row>
    <row r="27" spans="1:50" ht="16.5" customHeight="1" x14ac:dyDescent="0.25">
      <c r="A27" s="11">
        <f t="shared" si="12"/>
        <v>16</v>
      </c>
      <c r="B27" s="44">
        <f t="shared" ca="1" si="13"/>
        <v>2035</v>
      </c>
      <c r="C27" s="44">
        <f t="shared" si="18"/>
        <v>44</v>
      </c>
      <c r="D27" s="50">
        <f t="shared" si="14"/>
        <v>12.134220918181525</v>
      </c>
      <c r="E27" s="45">
        <f t="shared" si="15"/>
        <v>170000</v>
      </c>
      <c r="F27" s="12">
        <f t="shared" ref="F27:F28" si="20">+E27*D27</f>
        <v>2062817.5560908592</v>
      </c>
      <c r="G27" s="52">
        <f t="shared" si="0"/>
        <v>3800</v>
      </c>
      <c r="H27" s="46">
        <f t="shared" si="4"/>
        <v>3842.5032907574828</v>
      </c>
      <c r="I27" s="39">
        <f t="shared" si="5"/>
        <v>46110.039489089795</v>
      </c>
      <c r="J27" s="12">
        <f t="shared" ref="J27:J28" si="21">+J26+I27</f>
        <v>541310.91702441953</v>
      </c>
      <c r="K27" s="17">
        <f t="shared" si="6"/>
        <v>0</v>
      </c>
      <c r="L27" s="46">
        <f t="shared" si="1"/>
        <v>0</v>
      </c>
      <c r="M27" s="22" t="str">
        <f t="shared" si="19"/>
        <v/>
      </c>
      <c r="N27" s="12">
        <f t="shared" si="7"/>
        <v>13833.011846726939</v>
      </c>
      <c r="Q27" s="71">
        <f t="shared" si="8"/>
        <v>44</v>
      </c>
      <c r="R27" s="85"/>
      <c r="S27" s="71" t="str">
        <f t="shared" si="9"/>
        <v/>
      </c>
      <c r="V27" s="77">
        <f t="shared" ca="1" si="10"/>
        <v>2035</v>
      </c>
      <c r="W27" s="45">
        <f t="shared" si="11"/>
        <v>44</v>
      </c>
      <c r="X27" s="78">
        <f t="shared" si="17"/>
        <v>12.134220918181525</v>
      </c>
    </row>
    <row r="28" spans="1:50" ht="16.5" customHeight="1" x14ac:dyDescent="0.25">
      <c r="A28" s="13">
        <f t="shared" si="12"/>
        <v>17</v>
      </c>
      <c r="B28" s="47">
        <f t="shared" ca="1" si="13"/>
        <v>2036</v>
      </c>
      <c r="C28" s="47">
        <f t="shared" si="18"/>
        <v>45</v>
      </c>
      <c r="D28" s="51">
        <f t="shared" si="14"/>
        <v>12.680260859499692</v>
      </c>
      <c r="E28" s="43">
        <f t="shared" si="15"/>
        <v>170000</v>
      </c>
      <c r="F28" s="14">
        <f t="shared" si="20"/>
        <v>2155644.3461149475</v>
      </c>
      <c r="G28" s="53">
        <f t="shared" si="0"/>
        <v>3800</v>
      </c>
      <c r="H28" s="40">
        <f t="shared" si="4"/>
        <v>4015.4159388415687</v>
      </c>
      <c r="I28" s="41">
        <f t="shared" si="5"/>
        <v>48184.991266098827</v>
      </c>
      <c r="J28" s="14">
        <f t="shared" si="21"/>
        <v>589495.90829051833</v>
      </c>
      <c r="K28" s="18">
        <f t="shared" si="6"/>
        <v>70858</v>
      </c>
      <c r="L28" s="48">
        <f t="shared" si="1"/>
        <v>898497.92398242909</v>
      </c>
      <c r="M28" s="23">
        <f t="shared" si="19"/>
        <v>0.52418008563958818</v>
      </c>
      <c r="N28" s="14">
        <f t="shared" si="7"/>
        <v>14455.497379829647</v>
      </c>
      <c r="Q28" s="72">
        <f t="shared" si="8"/>
        <v>45</v>
      </c>
      <c r="R28" s="85">
        <v>70858</v>
      </c>
      <c r="S28" s="72" t="str">
        <f t="shared" si="9"/>
        <v/>
      </c>
      <c r="V28" s="79">
        <f t="shared" ca="1" si="10"/>
        <v>2036</v>
      </c>
      <c r="W28" s="43">
        <f t="shared" si="11"/>
        <v>45</v>
      </c>
      <c r="X28" s="80">
        <f t="shared" si="17"/>
        <v>12.680260859499692</v>
      </c>
    </row>
    <row r="29" spans="1:50" ht="16.5" customHeight="1" x14ac:dyDescent="0.25">
      <c r="A29" s="11">
        <f t="shared" si="12"/>
        <v>18</v>
      </c>
      <c r="B29" s="44">
        <f t="shared" ca="1" si="13"/>
        <v>2037</v>
      </c>
      <c r="C29" s="44">
        <f t="shared" si="18"/>
        <v>46</v>
      </c>
      <c r="D29" s="50">
        <f t="shared" si="14"/>
        <v>13.250872598177176</v>
      </c>
      <c r="E29" s="45">
        <f t="shared" si="15"/>
        <v>170000</v>
      </c>
      <c r="F29" s="12">
        <f t="shared" ref="F29:F30" si="22">+E29*D29</f>
        <v>2252648.3416901198</v>
      </c>
      <c r="G29" s="52">
        <f t="shared" si="0"/>
        <v>3800</v>
      </c>
      <c r="H29" s="46">
        <f t="shared" si="4"/>
        <v>4196.1096560894393</v>
      </c>
      <c r="I29" s="39">
        <f t="shared" si="5"/>
        <v>50353.315873073268</v>
      </c>
      <c r="J29" s="12">
        <f t="shared" ref="J29:J30" si="23">+J28+I29</f>
        <v>639849.22416359163</v>
      </c>
      <c r="K29" s="17">
        <f t="shared" si="6"/>
        <v>0</v>
      </c>
      <c r="L29" s="46">
        <f t="shared" si="1"/>
        <v>0</v>
      </c>
      <c r="M29" s="22" t="str">
        <f t="shared" si="19"/>
        <v/>
      </c>
      <c r="N29" s="12">
        <f t="shared" si="7"/>
        <v>15105.99476192198</v>
      </c>
      <c r="Q29" s="71">
        <f t="shared" si="8"/>
        <v>46</v>
      </c>
      <c r="R29" s="85"/>
      <c r="S29" s="71" t="str">
        <f t="shared" si="9"/>
        <v/>
      </c>
      <c r="V29" s="77">
        <f t="shared" ca="1" si="10"/>
        <v>2037</v>
      </c>
      <c r="W29" s="45">
        <f t="shared" si="11"/>
        <v>46</v>
      </c>
      <c r="X29" s="78">
        <f t="shared" si="17"/>
        <v>13.250872598177176</v>
      </c>
    </row>
    <row r="30" spans="1:50" ht="16.5" customHeight="1" x14ac:dyDescent="0.25">
      <c r="A30" s="13">
        <f t="shared" si="12"/>
        <v>19</v>
      </c>
      <c r="B30" s="47">
        <f t="shared" ca="1" si="13"/>
        <v>2038</v>
      </c>
      <c r="C30" s="47">
        <f t="shared" si="18"/>
        <v>47</v>
      </c>
      <c r="D30" s="51">
        <f t="shared" si="14"/>
        <v>13.847161865095149</v>
      </c>
      <c r="E30" s="43">
        <f t="shared" si="15"/>
        <v>170000</v>
      </c>
      <c r="F30" s="14">
        <f t="shared" si="22"/>
        <v>2354017.5170661756</v>
      </c>
      <c r="G30" s="53">
        <f t="shared" si="0"/>
        <v>3800</v>
      </c>
      <c r="H30" s="40">
        <f t="shared" ref="H30:H36" si="24">+I30/12</f>
        <v>4384.934590613464</v>
      </c>
      <c r="I30" s="41">
        <f t="shared" ref="I30:I36" si="25">G30*D30</f>
        <v>52619.215087361568</v>
      </c>
      <c r="J30" s="14">
        <f t="shared" si="23"/>
        <v>692468.43925095315</v>
      </c>
      <c r="K30" s="18">
        <f t="shared" si="6"/>
        <v>0</v>
      </c>
      <c r="L30" s="48">
        <f t="shared" si="1"/>
        <v>0</v>
      </c>
      <c r="M30" s="23" t="str">
        <f t="shared" ref="M30:M36" si="26">IF(L30/J30-1&lt;0,"",L30/J30-1)</f>
        <v/>
      </c>
      <c r="N30" s="14">
        <f t="shared" si="7"/>
        <v>15785.76452620847</v>
      </c>
      <c r="Q30" s="72">
        <f t="shared" si="8"/>
        <v>47</v>
      </c>
      <c r="R30" s="85"/>
      <c r="S30" s="72" t="str">
        <f t="shared" si="9"/>
        <v/>
      </c>
      <c r="V30" s="79">
        <f t="shared" ca="1" si="10"/>
        <v>2038</v>
      </c>
      <c r="W30" s="43">
        <f t="shared" si="11"/>
        <v>47</v>
      </c>
      <c r="X30" s="80">
        <f t="shared" si="17"/>
        <v>13.847161865095149</v>
      </c>
    </row>
    <row r="31" spans="1:50" ht="16.5" customHeight="1" x14ac:dyDescent="0.25">
      <c r="A31" s="11">
        <f t="shared" si="12"/>
        <v>20</v>
      </c>
      <c r="B31" s="44">
        <f t="shared" ca="1" si="13"/>
        <v>2039</v>
      </c>
      <c r="C31" s="44">
        <f t="shared" si="18"/>
        <v>48</v>
      </c>
      <c r="D31" s="50">
        <f t="shared" si="14"/>
        <v>14.47028414902443</v>
      </c>
      <c r="E31" s="45">
        <f t="shared" si="15"/>
        <v>170000</v>
      </c>
      <c r="F31" s="12">
        <f t="shared" ref="F31:F36" si="27">+E31*D31</f>
        <v>2459948.3053341531</v>
      </c>
      <c r="G31" s="52">
        <f t="shared" si="0"/>
        <v>3800</v>
      </c>
      <c r="H31" s="46">
        <f t="shared" si="24"/>
        <v>4582.2566471910695</v>
      </c>
      <c r="I31" s="39">
        <f t="shared" si="25"/>
        <v>54987.079766292831</v>
      </c>
      <c r="J31" s="12">
        <f t="shared" ref="J31:J36" si="28">+J30+I31</f>
        <v>747455.51901724597</v>
      </c>
      <c r="K31" s="17">
        <f t="shared" si="6"/>
        <v>0</v>
      </c>
      <c r="L31" s="46">
        <f t="shared" si="1"/>
        <v>0</v>
      </c>
      <c r="M31" s="22" t="str">
        <f t="shared" si="26"/>
        <v/>
      </c>
      <c r="N31" s="12">
        <f t="shared" si="7"/>
        <v>16496.12392988785</v>
      </c>
      <c r="Q31" s="71">
        <f t="shared" si="8"/>
        <v>48</v>
      </c>
      <c r="R31" s="85"/>
      <c r="S31" s="71" t="str">
        <f t="shared" si="9"/>
        <v/>
      </c>
      <c r="V31" s="77">
        <f t="shared" ca="1" si="10"/>
        <v>2039</v>
      </c>
      <c r="W31" s="45">
        <f t="shared" si="11"/>
        <v>48</v>
      </c>
      <c r="X31" s="78">
        <f t="shared" si="17"/>
        <v>14.47028414902443</v>
      </c>
    </row>
    <row r="32" spans="1:50" ht="16.5" customHeight="1" x14ac:dyDescent="0.25">
      <c r="A32" s="13">
        <f t="shared" si="12"/>
        <v>21</v>
      </c>
      <c r="B32" s="47">
        <f t="shared" ca="1" si="13"/>
        <v>2040</v>
      </c>
      <c r="C32" s="47">
        <f t="shared" si="18"/>
        <v>49</v>
      </c>
      <c r="D32" s="51">
        <f t="shared" si="14"/>
        <v>15.121446935730528</v>
      </c>
      <c r="E32" s="43">
        <f t="shared" si="15"/>
        <v>170000</v>
      </c>
      <c r="F32" s="14">
        <f t="shared" si="27"/>
        <v>2570645.9790741899</v>
      </c>
      <c r="G32" s="53">
        <f t="shared" si="0"/>
        <v>3800</v>
      </c>
      <c r="H32" s="40">
        <f t="shared" si="24"/>
        <v>4788.4581963146675</v>
      </c>
      <c r="I32" s="41">
        <f t="shared" si="25"/>
        <v>57461.498355776006</v>
      </c>
      <c r="J32" s="14">
        <f t="shared" si="28"/>
        <v>804917.01737302192</v>
      </c>
      <c r="K32" s="18">
        <f t="shared" si="6"/>
        <v>0</v>
      </c>
      <c r="L32" s="48">
        <f t="shared" si="1"/>
        <v>0</v>
      </c>
      <c r="M32" s="23" t="str">
        <f t="shared" si="26"/>
        <v/>
      </c>
      <c r="N32" s="14">
        <f t="shared" si="7"/>
        <v>17238.449506732803</v>
      </c>
      <c r="Q32" s="72">
        <f t="shared" si="8"/>
        <v>49</v>
      </c>
      <c r="R32" s="85"/>
      <c r="S32" s="72" t="str">
        <f t="shared" si="9"/>
        <v/>
      </c>
      <c r="V32" s="79">
        <f t="shared" ca="1" si="10"/>
        <v>2040</v>
      </c>
      <c r="W32" s="43">
        <f t="shared" si="11"/>
        <v>49</v>
      </c>
      <c r="X32" s="80">
        <f t="shared" si="17"/>
        <v>15.121446935730528</v>
      </c>
    </row>
    <row r="33" spans="1:24" ht="16.5" customHeight="1" x14ac:dyDescent="0.25">
      <c r="A33" s="11">
        <f t="shared" si="12"/>
        <v>22</v>
      </c>
      <c r="B33" s="44">
        <f t="shared" ca="1" si="13"/>
        <v>2041</v>
      </c>
      <c r="C33" s="44">
        <f t="shared" si="18"/>
        <v>50</v>
      </c>
      <c r="D33" s="50">
        <f t="shared" si="14"/>
        <v>15.801912047838401</v>
      </c>
      <c r="E33" s="45">
        <f t="shared" si="15"/>
        <v>170000</v>
      </c>
      <c r="F33" s="12">
        <f t="shared" si="27"/>
        <v>2686325.0481325281</v>
      </c>
      <c r="G33" s="52">
        <f t="shared" si="0"/>
        <v>0</v>
      </c>
      <c r="H33" s="46">
        <f t="shared" si="24"/>
        <v>0</v>
      </c>
      <c r="I33" s="39">
        <f t="shared" si="25"/>
        <v>0</v>
      </c>
      <c r="J33" s="12">
        <f t="shared" si="28"/>
        <v>804917.01737302192</v>
      </c>
      <c r="K33" s="17">
        <f t="shared" si="6"/>
        <v>95959</v>
      </c>
      <c r="L33" s="46">
        <f t="shared" si="1"/>
        <v>1516335.6781985252</v>
      </c>
      <c r="M33" s="22">
        <f t="shared" si="26"/>
        <v>0.88384099909744007</v>
      </c>
      <c r="N33" s="12">
        <f t="shared" si="7"/>
        <v>0</v>
      </c>
      <c r="Q33" s="71">
        <f t="shared" si="8"/>
        <v>50</v>
      </c>
      <c r="R33" s="85">
        <v>95959</v>
      </c>
      <c r="S33" s="71" t="str">
        <f t="shared" si="9"/>
        <v/>
      </c>
      <c r="V33" s="77">
        <f t="shared" ca="1" si="10"/>
        <v>2041</v>
      </c>
      <c r="W33" s="45">
        <f t="shared" si="11"/>
        <v>50</v>
      </c>
      <c r="X33" s="78">
        <f t="shared" si="17"/>
        <v>15.801912047838401</v>
      </c>
    </row>
    <row r="34" spans="1:24" ht="16.5" customHeight="1" x14ac:dyDescent="0.25">
      <c r="A34" s="13">
        <f t="shared" si="12"/>
        <v>23</v>
      </c>
      <c r="B34" s="47">
        <f t="shared" ca="1" si="13"/>
        <v>2042</v>
      </c>
      <c r="C34" s="47">
        <f t="shared" si="18"/>
        <v>51</v>
      </c>
      <c r="D34" s="51">
        <f t="shared" si="14"/>
        <v>16.512998089991129</v>
      </c>
      <c r="E34" s="43">
        <f t="shared" si="15"/>
        <v>170000</v>
      </c>
      <c r="F34" s="14">
        <f t="shared" si="27"/>
        <v>2807209.675298492</v>
      </c>
      <c r="G34" s="53">
        <f t="shared" si="0"/>
        <v>0</v>
      </c>
      <c r="H34" s="40">
        <f t="shared" si="24"/>
        <v>0</v>
      </c>
      <c r="I34" s="41">
        <f t="shared" si="25"/>
        <v>0</v>
      </c>
      <c r="J34" s="14">
        <f t="shared" si="28"/>
        <v>804917.01737302192</v>
      </c>
      <c r="K34" s="18">
        <f t="shared" si="6"/>
        <v>0</v>
      </c>
      <c r="L34" s="48">
        <f t="shared" si="1"/>
        <v>0</v>
      </c>
      <c r="M34" s="23" t="str">
        <f t="shared" si="26"/>
        <v/>
      </c>
      <c r="N34" s="14">
        <f t="shared" si="7"/>
        <v>0</v>
      </c>
      <c r="Q34" s="72">
        <f t="shared" si="8"/>
        <v>51</v>
      </c>
      <c r="R34" s="85"/>
      <c r="S34" s="72" t="str">
        <f t="shared" si="9"/>
        <v/>
      </c>
      <c r="V34" s="79">
        <f t="shared" ca="1" si="10"/>
        <v>2042</v>
      </c>
      <c r="W34" s="43">
        <f t="shared" si="11"/>
        <v>51</v>
      </c>
      <c r="X34" s="80">
        <f t="shared" si="17"/>
        <v>16.512998089991129</v>
      </c>
    </row>
    <row r="35" spans="1:24" ht="16.5" customHeight="1" x14ac:dyDescent="0.25">
      <c r="A35" s="11">
        <f t="shared" si="12"/>
        <v>24</v>
      </c>
      <c r="B35" s="44">
        <f t="shared" ca="1" si="13"/>
        <v>2043</v>
      </c>
      <c r="C35" s="44">
        <f t="shared" si="18"/>
        <v>52</v>
      </c>
      <c r="D35" s="50">
        <f t="shared" si="14"/>
        <v>17.256083004040729</v>
      </c>
      <c r="E35" s="45">
        <f t="shared" si="15"/>
        <v>170000</v>
      </c>
      <c r="F35" s="12">
        <f t="shared" si="27"/>
        <v>2933534.1106869238</v>
      </c>
      <c r="G35" s="52">
        <f t="shared" si="0"/>
        <v>0</v>
      </c>
      <c r="H35" s="46">
        <f t="shared" si="24"/>
        <v>0</v>
      </c>
      <c r="I35" s="39">
        <f t="shared" si="25"/>
        <v>0</v>
      </c>
      <c r="J35" s="12">
        <f t="shared" si="28"/>
        <v>804917.01737302192</v>
      </c>
      <c r="K35" s="17">
        <f t="shared" si="6"/>
        <v>0</v>
      </c>
      <c r="L35" s="46">
        <f t="shared" si="1"/>
        <v>0</v>
      </c>
      <c r="M35" s="22" t="str">
        <f t="shared" si="26"/>
        <v/>
      </c>
      <c r="N35" s="12">
        <f t="shared" si="7"/>
        <v>0</v>
      </c>
      <c r="Q35" s="71">
        <f t="shared" si="8"/>
        <v>52</v>
      </c>
      <c r="R35" s="85"/>
      <c r="S35" s="71" t="str">
        <f t="shared" si="9"/>
        <v/>
      </c>
      <c r="V35" s="77">
        <f t="shared" ca="1" si="10"/>
        <v>2043</v>
      </c>
      <c r="W35" s="45">
        <f t="shared" si="11"/>
        <v>52</v>
      </c>
      <c r="X35" s="78">
        <f t="shared" si="17"/>
        <v>17.256083004040729</v>
      </c>
    </row>
    <row r="36" spans="1:24" ht="16.5" customHeight="1" x14ac:dyDescent="0.25">
      <c r="A36" s="13">
        <f t="shared" si="12"/>
        <v>25</v>
      </c>
      <c r="B36" s="47">
        <f t="shared" ca="1" si="13"/>
        <v>2044</v>
      </c>
      <c r="C36" s="47">
        <f t="shared" si="18"/>
        <v>53</v>
      </c>
      <c r="D36" s="51">
        <f t="shared" si="14"/>
        <v>18.032606739222562</v>
      </c>
      <c r="E36" s="43">
        <f t="shared" si="15"/>
        <v>170000</v>
      </c>
      <c r="F36" s="14">
        <f t="shared" si="27"/>
        <v>3065543.1456678356</v>
      </c>
      <c r="G36" s="53">
        <f t="shared" si="0"/>
        <v>0</v>
      </c>
      <c r="H36" s="40">
        <f t="shared" si="24"/>
        <v>0</v>
      </c>
      <c r="I36" s="41">
        <f t="shared" si="25"/>
        <v>0</v>
      </c>
      <c r="J36" s="14">
        <f t="shared" si="28"/>
        <v>804917.01737302192</v>
      </c>
      <c r="K36" s="18">
        <f t="shared" si="6"/>
        <v>0</v>
      </c>
      <c r="L36" s="48">
        <f t="shared" si="1"/>
        <v>0</v>
      </c>
      <c r="M36" s="23" t="str">
        <f t="shared" si="26"/>
        <v/>
      </c>
      <c r="N36" s="14">
        <f t="shared" si="7"/>
        <v>0</v>
      </c>
      <c r="Q36" s="72">
        <f t="shared" si="8"/>
        <v>53</v>
      </c>
      <c r="R36" s="85"/>
      <c r="S36" s="72" t="str">
        <f t="shared" si="9"/>
        <v/>
      </c>
      <c r="V36" s="79">
        <f t="shared" ca="1" si="10"/>
        <v>2044</v>
      </c>
      <c r="W36" s="43">
        <f t="shared" si="11"/>
        <v>53</v>
      </c>
      <c r="X36" s="80">
        <f t="shared" si="17"/>
        <v>18.032606739222562</v>
      </c>
    </row>
    <row r="37" spans="1:24" ht="15.75" customHeight="1" x14ac:dyDescent="0.25">
      <c r="A37" s="11">
        <f t="shared" si="12"/>
        <v>26</v>
      </c>
      <c r="B37" s="44">
        <f t="shared" ca="1" si="13"/>
        <v>2045</v>
      </c>
      <c r="C37" s="44">
        <f t="shared" si="18"/>
        <v>54</v>
      </c>
      <c r="D37" s="50">
        <f t="shared" si="14"/>
        <v>18.844074042487577</v>
      </c>
      <c r="E37" s="45">
        <f t="shared" si="15"/>
        <v>170000</v>
      </c>
      <c r="F37" s="12">
        <f t="shared" ref="F37:F38" si="29">+E37*D37</f>
        <v>3203492.5872228881</v>
      </c>
      <c r="G37" s="52">
        <f t="shared" si="0"/>
        <v>0</v>
      </c>
      <c r="H37" s="46">
        <f t="shared" ref="H37:H38" si="30">+I37/12</f>
        <v>0</v>
      </c>
      <c r="I37" s="39">
        <f t="shared" ref="I37:I38" si="31">G37*D37</f>
        <v>0</v>
      </c>
      <c r="J37" s="12">
        <f t="shared" ref="J37:J38" si="32">+J36+I37</f>
        <v>804917.01737302192</v>
      </c>
      <c r="K37" s="17">
        <f t="shared" si="6"/>
        <v>0</v>
      </c>
      <c r="L37" s="46">
        <f t="shared" si="1"/>
        <v>0</v>
      </c>
      <c r="M37" s="22" t="str">
        <f t="shared" ref="M37:M38" si="33">IF(L37/J37-1&lt;0,"",L37/J37-1)</f>
        <v/>
      </c>
      <c r="N37" s="12">
        <f t="shared" si="7"/>
        <v>0</v>
      </c>
      <c r="Q37" s="71">
        <f t="shared" si="8"/>
        <v>54</v>
      </c>
      <c r="R37" s="85"/>
      <c r="S37" s="71" t="str">
        <f t="shared" si="9"/>
        <v/>
      </c>
      <c r="V37" s="77">
        <f t="shared" ca="1" si="10"/>
        <v>2045</v>
      </c>
      <c r="W37" s="45">
        <f t="shared" si="11"/>
        <v>54</v>
      </c>
      <c r="X37" s="78">
        <f t="shared" si="17"/>
        <v>18.844074042487577</v>
      </c>
    </row>
    <row r="38" spans="1:24" x14ac:dyDescent="0.25">
      <c r="A38" s="13">
        <f t="shared" si="12"/>
        <v>27</v>
      </c>
      <c r="B38" s="47">
        <f t="shared" ca="1" si="13"/>
        <v>2046</v>
      </c>
      <c r="C38" s="47">
        <f t="shared" si="18"/>
        <v>55</v>
      </c>
      <c r="D38" s="51">
        <f t="shared" si="14"/>
        <v>19.692057374399518</v>
      </c>
      <c r="E38" s="43">
        <f t="shared" si="15"/>
        <v>170000</v>
      </c>
      <c r="F38" s="14">
        <f t="shared" si="29"/>
        <v>3347649.7536479179</v>
      </c>
      <c r="G38" s="53">
        <f t="shared" si="0"/>
        <v>0</v>
      </c>
      <c r="H38" s="40">
        <f t="shared" si="30"/>
        <v>0</v>
      </c>
      <c r="I38" s="41">
        <f t="shared" si="31"/>
        <v>0</v>
      </c>
      <c r="J38" s="14">
        <f t="shared" si="32"/>
        <v>804917.01737302192</v>
      </c>
      <c r="K38" s="18">
        <f t="shared" si="6"/>
        <v>104631</v>
      </c>
      <c r="L38" s="48">
        <f t="shared" si="1"/>
        <v>2060399.655140796</v>
      </c>
      <c r="M38" s="23">
        <f t="shared" si="33"/>
        <v>1.559766548190578</v>
      </c>
      <c r="N38" s="14">
        <f t="shared" si="7"/>
        <v>0</v>
      </c>
      <c r="Q38" s="72">
        <f t="shared" si="8"/>
        <v>55</v>
      </c>
      <c r="R38" s="85">
        <v>104631</v>
      </c>
      <c r="S38" s="72" t="str">
        <f t="shared" si="9"/>
        <v/>
      </c>
      <c r="V38" s="79">
        <f t="shared" ca="1" si="10"/>
        <v>2046</v>
      </c>
      <c r="W38" s="43">
        <f t="shared" si="11"/>
        <v>55</v>
      </c>
      <c r="X38" s="80">
        <f t="shared" si="17"/>
        <v>19.692057374399518</v>
      </c>
    </row>
    <row r="39" spans="1:24" x14ac:dyDescent="0.25">
      <c r="A39" s="11">
        <f t="shared" si="12"/>
        <v>28</v>
      </c>
      <c r="B39" s="44">
        <f t="shared" ca="1" si="13"/>
        <v>2047</v>
      </c>
      <c r="C39" s="44">
        <f t="shared" si="18"/>
        <v>56</v>
      </c>
      <c r="D39" s="50">
        <f t="shared" si="14"/>
        <v>20.578199956247495</v>
      </c>
      <c r="E39" s="45">
        <f t="shared" si="15"/>
        <v>170000</v>
      </c>
      <c r="F39" s="12">
        <f t="shared" ref="F39:F40" si="34">+E39*D39</f>
        <v>3498293.9925620742</v>
      </c>
      <c r="G39" s="52">
        <f t="shared" si="0"/>
        <v>0</v>
      </c>
      <c r="H39" s="46">
        <f t="shared" ref="H39:H40" si="35">+I39/12</f>
        <v>0</v>
      </c>
      <c r="I39" s="39">
        <f t="shared" ref="I39:I40" si="36">G39*D39</f>
        <v>0</v>
      </c>
      <c r="J39" s="12">
        <f t="shared" ref="J39:J40" si="37">+J38+I39</f>
        <v>804917.01737302192</v>
      </c>
      <c r="K39" s="17">
        <f t="shared" si="6"/>
        <v>0</v>
      </c>
      <c r="L39" s="46">
        <f t="shared" si="1"/>
        <v>0</v>
      </c>
      <c r="M39" s="22" t="str">
        <f t="shared" ref="M39:M40" si="38">IF(L39/J39-1&lt;0,"",L39/J39-1)</f>
        <v/>
      </c>
      <c r="N39" s="12">
        <f t="shared" si="7"/>
        <v>0</v>
      </c>
      <c r="Q39" s="71">
        <f t="shared" si="8"/>
        <v>56</v>
      </c>
      <c r="R39" s="85"/>
      <c r="S39" s="71" t="str">
        <f t="shared" si="9"/>
        <v/>
      </c>
      <c r="V39" s="77">
        <f t="shared" ca="1" si="10"/>
        <v>2047</v>
      </c>
      <c r="W39" s="45">
        <f t="shared" si="11"/>
        <v>56</v>
      </c>
      <c r="X39" s="78">
        <f t="shared" si="17"/>
        <v>20.578199956247495</v>
      </c>
    </row>
    <row r="40" spans="1:24" x14ac:dyDescent="0.25">
      <c r="A40" s="13">
        <f t="shared" si="12"/>
        <v>29</v>
      </c>
      <c r="B40" s="47">
        <f t="shared" ca="1" si="13"/>
        <v>2048</v>
      </c>
      <c r="C40" s="47">
        <f t="shared" si="18"/>
        <v>57</v>
      </c>
      <c r="D40" s="51">
        <f t="shared" si="14"/>
        <v>21.504218954278631</v>
      </c>
      <c r="E40" s="43">
        <f t="shared" si="15"/>
        <v>170000</v>
      </c>
      <c r="F40" s="14">
        <f t="shared" si="34"/>
        <v>3655717.2222273671</v>
      </c>
      <c r="G40" s="53">
        <f t="shared" si="0"/>
        <v>0</v>
      </c>
      <c r="H40" s="40">
        <f t="shared" si="35"/>
        <v>0</v>
      </c>
      <c r="I40" s="41">
        <f t="shared" si="36"/>
        <v>0</v>
      </c>
      <c r="J40" s="14">
        <f t="shared" si="37"/>
        <v>804917.01737302192</v>
      </c>
      <c r="K40" s="18">
        <f t="shared" si="6"/>
        <v>0</v>
      </c>
      <c r="L40" s="48">
        <f t="shared" si="1"/>
        <v>0</v>
      </c>
      <c r="M40" s="23" t="str">
        <f t="shared" si="38"/>
        <v/>
      </c>
      <c r="N40" s="14">
        <f t="shared" si="7"/>
        <v>0</v>
      </c>
      <c r="Q40" s="72">
        <f t="shared" si="8"/>
        <v>57</v>
      </c>
      <c r="R40" s="85"/>
      <c r="S40" s="72" t="str">
        <f t="shared" si="9"/>
        <v/>
      </c>
      <c r="V40" s="79">
        <f t="shared" ca="1" si="10"/>
        <v>2048</v>
      </c>
      <c r="W40" s="43">
        <f t="shared" si="11"/>
        <v>57</v>
      </c>
      <c r="X40" s="80">
        <f t="shared" si="17"/>
        <v>21.504218954278631</v>
      </c>
    </row>
    <row r="41" spans="1:24" x14ac:dyDescent="0.25">
      <c r="A41" s="11">
        <f t="shared" si="12"/>
        <v>30</v>
      </c>
      <c r="B41" s="44">
        <f t="shared" ca="1" si="13"/>
        <v>2049</v>
      </c>
      <c r="C41" s="44">
        <f t="shared" si="18"/>
        <v>58</v>
      </c>
      <c r="D41" s="50">
        <f t="shared" si="14"/>
        <v>22.471908807221169</v>
      </c>
      <c r="E41" s="45">
        <f t="shared" si="15"/>
        <v>170000</v>
      </c>
      <c r="F41" s="12">
        <f t="shared" ref="F41:F42" si="39">+E41*D41</f>
        <v>3820224.4972275989</v>
      </c>
      <c r="G41" s="52">
        <f t="shared" si="0"/>
        <v>0</v>
      </c>
      <c r="H41" s="46">
        <f t="shared" ref="H41:H42" si="40">+I41/12</f>
        <v>0</v>
      </c>
      <c r="I41" s="39">
        <f t="shared" ref="I41:I42" si="41">G41*D41</f>
        <v>0</v>
      </c>
      <c r="J41" s="12">
        <f t="shared" ref="J41:J42" si="42">+J40+I41</f>
        <v>804917.01737302192</v>
      </c>
      <c r="K41" s="17">
        <f t="shared" si="6"/>
        <v>0</v>
      </c>
      <c r="L41" s="46">
        <f t="shared" si="1"/>
        <v>0</v>
      </c>
      <c r="M41" s="22" t="str">
        <f t="shared" ref="M41:M42" si="43">IF(L41/J41-1&lt;0,"",L41/J41-1)</f>
        <v/>
      </c>
      <c r="N41" s="12">
        <f t="shared" si="7"/>
        <v>0</v>
      </c>
      <c r="Q41" s="71">
        <f t="shared" si="8"/>
        <v>58</v>
      </c>
      <c r="R41" s="85"/>
      <c r="S41" s="71" t="str">
        <f t="shared" si="9"/>
        <v/>
      </c>
      <c r="V41" s="77">
        <f t="shared" ca="1" si="10"/>
        <v>2049</v>
      </c>
      <c r="W41" s="45">
        <f t="shared" si="11"/>
        <v>58</v>
      </c>
      <c r="X41" s="78">
        <f t="shared" si="17"/>
        <v>22.471908807221169</v>
      </c>
    </row>
    <row r="42" spans="1:24" x14ac:dyDescent="0.25">
      <c r="A42" s="13">
        <f t="shared" si="12"/>
        <v>31</v>
      </c>
      <c r="B42" s="47">
        <f t="shared" ca="1" si="13"/>
        <v>2050</v>
      </c>
      <c r="C42" s="47">
        <f t="shared" si="18"/>
        <v>59</v>
      </c>
      <c r="D42" s="51">
        <f t="shared" si="14"/>
        <v>23.48314470354612</v>
      </c>
      <c r="E42" s="43">
        <f t="shared" si="15"/>
        <v>170000</v>
      </c>
      <c r="F42" s="14">
        <f t="shared" si="39"/>
        <v>3992134.5996028404</v>
      </c>
      <c r="G42" s="53">
        <f t="shared" si="0"/>
        <v>0</v>
      </c>
      <c r="H42" s="40">
        <f t="shared" si="40"/>
        <v>0</v>
      </c>
      <c r="I42" s="41">
        <f t="shared" si="41"/>
        <v>0</v>
      </c>
      <c r="J42" s="14">
        <f t="shared" si="42"/>
        <v>804917.01737302192</v>
      </c>
      <c r="K42" s="18">
        <f t="shared" si="6"/>
        <v>0</v>
      </c>
      <c r="L42" s="48">
        <f t="shared" si="1"/>
        <v>0</v>
      </c>
      <c r="M42" s="23" t="str">
        <f t="shared" si="43"/>
        <v/>
      </c>
      <c r="N42" s="14">
        <f t="shared" si="7"/>
        <v>0</v>
      </c>
      <c r="Q42" s="72">
        <f t="shared" si="8"/>
        <v>59</v>
      </c>
      <c r="R42" s="85"/>
      <c r="S42" s="72" t="str">
        <f t="shared" si="9"/>
        <v/>
      </c>
      <c r="V42" s="79">
        <f t="shared" ca="1" si="10"/>
        <v>2050</v>
      </c>
      <c r="W42" s="43">
        <f t="shared" si="11"/>
        <v>59</v>
      </c>
      <c r="X42" s="80">
        <f t="shared" si="17"/>
        <v>23.48314470354612</v>
      </c>
    </row>
    <row r="43" spans="1:24" x14ac:dyDescent="0.25">
      <c r="A43" s="11">
        <f t="shared" si="12"/>
        <v>32</v>
      </c>
      <c r="B43" s="44">
        <f t="shared" ca="1" si="13"/>
        <v>2051</v>
      </c>
      <c r="C43" s="44">
        <f t="shared" si="18"/>
        <v>60</v>
      </c>
      <c r="D43" s="50">
        <f t="shared" si="14"/>
        <v>24.539886215205694</v>
      </c>
      <c r="E43" s="45">
        <f t="shared" si="15"/>
        <v>170000</v>
      </c>
      <c r="F43" s="12">
        <f t="shared" ref="F43:F44" si="44">+E43*D43</f>
        <v>4171780.6565849679</v>
      </c>
      <c r="G43" s="52">
        <f t="shared" si="0"/>
        <v>0</v>
      </c>
      <c r="H43" s="46">
        <f t="shared" ref="H43:H44" si="45">+I43/12</f>
        <v>0</v>
      </c>
      <c r="I43" s="39">
        <f t="shared" ref="I43:I44" si="46">G43*D43</f>
        <v>0</v>
      </c>
      <c r="J43" s="12">
        <f t="shared" ref="J43:J44" si="47">+J42+I43</f>
        <v>804917.01737302192</v>
      </c>
      <c r="K43" s="17">
        <f t="shared" si="6"/>
        <v>116181</v>
      </c>
      <c r="L43" s="46">
        <f t="shared" si="1"/>
        <v>2851068.5203688126</v>
      </c>
      <c r="M43" s="22">
        <f t="shared" ref="M43:M44" si="48">IF(L43/J43-1&lt;0,"",L43/J43-1)</f>
        <v>2.5420651555780744</v>
      </c>
      <c r="N43" s="12">
        <f t="shared" si="7"/>
        <v>0</v>
      </c>
      <c r="Q43" s="71">
        <f t="shared" si="8"/>
        <v>60</v>
      </c>
      <c r="R43" s="85">
        <v>116181</v>
      </c>
      <c r="S43" s="71" t="str">
        <f t="shared" si="9"/>
        <v/>
      </c>
      <c r="V43" s="77">
        <f t="shared" ca="1" si="10"/>
        <v>2051</v>
      </c>
      <c r="W43" s="45">
        <f t="shared" si="11"/>
        <v>60</v>
      </c>
      <c r="X43" s="78">
        <f t="shared" si="17"/>
        <v>24.539886215205694</v>
      </c>
    </row>
    <row r="44" spans="1:24" x14ac:dyDescent="0.25">
      <c r="A44" s="13">
        <f t="shared" si="12"/>
        <v>33</v>
      </c>
      <c r="B44" s="47">
        <f t="shared" ca="1" si="13"/>
        <v>2052</v>
      </c>
      <c r="C44" s="47">
        <f t="shared" si="18"/>
        <v>61</v>
      </c>
      <c r="D44" s="51">
        <f t="shared" si="14"/>
        <v>25.644181094889948</v>
      </c>
      <c r="E44" s="43">
        <f t="shared" si="15"/>
        <v>170000</v>
      </c>
      <c r="F44" s="14">
        <f t="shared" si="44"/>
        <v>4359510.7861312907</v>
      </c>
      <c r="G44" s="53">
        <f t="shared" si="0"/>
        <v>0</v>
      </c>
      <c r="H44" s="40">
        <f t="shared" si="45"/>
        <v>0</v>
      </c>
      <c r="I44" s="41">
        <f t="shared" si="46"/>
        <v>0</v>
      </c>
      <c r="J44" s="14">
        <f t="shared" si="47"/>
        <v>804917.01737302192</v>
      </c>
      <c r="K44" s="18">
        <f t="shared" si="6"/>
        <v>0</v>
      </c>
      <c r="L44" s="48">
        <f t="shared" si="1"/>
        <v>0</v>
      </c>
      <c r="M44" s="23" t="str">
        <f t="shared" si="48"/>
        <v/>
      </c>
      <c r="N44" s="14">
        <f t="shared" si="7"/>
        <v>0</v>
      </c>
      <c r="Q44" s="72">
        <f t="shared" si="8"/>
        <v>61</v>
      </c>
      <c r="R44" s="85"/>
      <c r="S44" s="72" t="str">
        <f t="shared" si="9"/>
        <v/>
      </c>
      <c r="V44" s="79">
        <f t="shared" ca="1" si="10"/>
        <v>2052</v>
      </c>
      <c r="W44" s="43">
        <f t="shared" si="11"/>
        <v>61</v>
      </c>
      <c r="X44" s="80">
        <f t="shared" si="17"/>
        <v>25.644181094889948</v>
      </c>
    </row>
    <row r="45" spans="1:24" x14ac:dyDescent="0.25">
      <c r="A45" s="11">
        <f t="shared" si="12"/>
        <v>34</v>
      </c>
      <c r="B45" s="44">
        <f t="shared" ca="1" si="13"/>
        <v>2053</v>
      </c>
      <c r="C45" s="44">
        <f t="shared" si="18"/>
        <v>62</v>
      </c>
      <c r="D45" s="50">
        <f t="shared" si="14"/>
        <v>26.798169244159993</v>
      </c>
      <c r="E45" s="45">
        <f t="shared" si="15"/>
        <v>170000</v>
      </c>
      <c r="F45" s="12">
        <f t="shared" ref="F45:F54" si="49">+E45*D45</f>
        <v>4555688.7715071989</v>
      </c>
      <c r="G45" s="52">
        <f t="shared" si="0"/>
        <v>0</v>
      </c>
      <c r="H45" s="46">
        <f t="shared" ref="H45:H54" si="50">+I45/12</f>
        <v>0</v>
      </c>
      <c r="I45" s="39">
        <f t="shared" ref="I45:I54" si="51">G45*D45</f>
        <v>0</v>
      </c>
      <c r="J45" s="12">
        <f t="shared" ref="J45:J49" si="52">+J44+I45</f>
        <v>804917.01737302192</v>
      </c>
      <c r="K45" s="17">
        <f t="shared" si="6"/>
        <v>0</v>
      </c>
      <c r="L45" s="46">
        <f t="shared" si="1"/>
        <v>0</v>
      </c>
      <c r="M45" s="22" t="str">
        <f t="shared" ref="M45:M54" si="53">IF(L45/J45-1&lt;0,"",L45/J45-1)</f>
        <v/>
      </c>
      <c r="N45" s="12">
        <f t="shared" si="7"/>
        <v>0</v>
      </c>
      <c r="Q45" s="71">
        <f t="shared" si="8"/>
        <v>62</v>
      </c>
      <c r="R45" s="85"/>
      <c r="S45" s="71" t="str">
        <f t="shared" si="9"/>
        <v/>
      </c>
      <c r="V45" s="77">
        <f t="shared" ca="1" si="10"/>
        <v>2053</v>
      </c>
      <c r="W45" s="45">
        <f t="shared" si="11"/>
        <v>62</v>
      </c>
      <c r="X45" s="78">
        <f t="shared" si="17"/>
        <v>26.798169244159993</v>
      </c>
    </row>
    <row r="46" spans="1:24" x14ac:dyDescent="0.25">
      <c r="A46" s="13">
        <f t="shared" si="12"/>
        <v>35</v>
      </c>
      <c r="B46" s="47">
        <f t="shared" ca="1" si="13"/>
        <v>2054</v>
      </c>
      <c r="C46" s="47">
        <f t="shared" si="18"/>
        <v>63</v>
      </c>
      <c r="D46" s="51">
        <f t="shared" si="14"/>
        <v>28.00408686014719</v>
      </c>
      <c r="E46" s="43">
        <f t="shared" si="15"/>
        <v>170000</v>
      </c>
      <c r="F46" s="14">
        <f t="shared" si="49"/>
        <v>4760694.7662250223</v>
      </c>
      <c r="G46" s="53">
        <f t="shared" si="0"/>
        <v>0</v>
      </c>
      <c r="H46" s="40">
        <f t="shared" si="50"/>
        <v>0</v>
      </c>
      <c r="I46" s="41">
        <f t="shared" si="51"/>
        <v>0</v>
      </c>
      <c r="J46" s="14">
        <f t="shared" si="52"/>
        <v>804917.01737302192</v>
      </c>
      <c r="K46" s="18">
        <f t="shared" si="6"/>
        <v>0</v>
      </c>
      <c r="L46" s="48">
        <f t="shared" si="1"/>
        <v>0</v>
      </c>
      <c r="M46" s="23" t="str">
        <f t="shared" si="53"/>
        <v/>
      </c>
      <c r="N46" s="14">
        <f t="shared" si="7"/>
        <v>0</v>
      </c>
      <c r="Q46" s="72">
        <f t="shared" si="8"/>
        <v>63</v>
      </c>
      <c r="R46" s="85"/>
      <c r="S46" s="72" t="str">
        <f t="shared" si="9"/>
        <v/>
      </c>
      <c r="V46" s="79">
        <f t="shared" ca="1" si="10"/>
        <v>2054</v>
      </c>
      <c r="W46" s="43">
        <f t="shared" si="11"/>
        <v>63</v>
      </c>
      <c r="X46" s="80">
        <f t="shared" si="17"/>
        <v>28.00408686014719</v>
      </c>
    </row>
    <row r="47" spans="1:24" x14ac:dyDescent="0.25">
      <c r="A47" s="11">
        <f t="shared" si="12"/>
        <v>36</v>
      </c>
      <c r="B47" s="44">
        <f t="shared" ca="1" si="13"/>
        <v>2055</v>
      </c>
      <c r="C47" s="44">
        <f t="shared" si="18"/>
        <v>64</v>
      </c>
      <c r="D47" s="50">
        <f t="shared" si="14"/>
        <v>29.264270768853812</v>
      </c>
      <c r="E47" s="45">
        <f t="shared" si="15"/>
        <v>170000</v>
      </c>
      <c r="F47" s="12">
        <f t="shared" si="49"/>
        <v>4974926.0307051484</v>
      </c>
      <c r="G47" s="52">
        <f t="shared" si="0"/>
        <v>0</v>
      </c>
      <c r="H47" s="46">
        <f t="shared" si="50"/>
        <v>0</v>
      </c>
      <c r="I47" s="39">
        <f t="shared" si="51"/>
        <v>0</v>
      </c>
      <c r="J47" s="12">
        <f t="shared" si="52"/>
        <v>804917.01737302192</v>
      </c>
      <c r="K47" s="17">
        <f t="shared" si="6"/>
        <v>122447</v>
      </c>
      <c r="L47" s="46">
        <f t="shared" si="1"/>
        <v>3583322.1628338429</v>
      </c>
      <c r="M47" s="22">
        <f t="shared" si="53"/>
        <v>3.4517907877368526</v>
      </c>
      <c r="N47" s="12">
        <f t="shared" si="7"/>
        <v>0</v>
      </c>
      <c r="Q47" s="71">
        <f t="shared" si="8"/>
        <v>64</v>
      </c>
      <c r="R47" s="85">
        <v>122447</v>
      </c>
      <c r="S47" s="71" t="str">
        <f t="shared" si="9"/>
        <v/>
      </c>
      <c r="V47" s="77">
        <f t="shared" ca="1" si="10"/>
        <v>2055</v>
      </c>
      <c r="W47" s="45">
        <f t="shared" si="11"/>
        <v>64</v>
      </c>
      <c r="X47" s="78">
        <f t="shared" si="17"/>
        <v>29.264270768853812</v>
      </c>
    </row>
    <row r="48" spans="1:24" hidden="1" x14ac:dyDescent="0.25">
      <c r="A48" s="13">
        <f t="shared" si="12"/>
        <v>37</v>
      </c>
      <c r="B48" s="47" t="str">
        <f t="shared" si="13"/>
        <v/>
      </c>
      <c r="C48" s="47">
        <f t="shared" si="18"/>
        <v>65</v>
      </c>
      <c r="D48" s="51" t="str">
        <f t="shared" si="14"/>
        <v/>
      </c>
      <c r="E48" s="43">
        <f t="shared" si="15"/>
        <v>170000</v>
      </c>
      <c r="F48" s="14" t="e">
        <f t="shared" si="49"/>
        <v>#VALUE!</v>
      </c>
      <c r="G48" s="53">
        <f t="shared" si="0"/>
        <v>0</v>
      </c>
      <c r="H48" s="40" t="e">
        <f t="shared" si="50"/>
        <v>#VALUE!</v>
      </c>
      <c r="I48" s="41" t="e">
        <f t="shared" si="51"/>
        <v>#VALUE!</v>
      </c>
      <c r="J48" s="14" t="e">
        <f t="shared" si="52"/>
        <v>#VALUE!</v>
      </c>
      <c r="K48" s="18">
        <f t="shared" si="6"/>
        <v>0</v>
      </c>
      <c r="L48" s="48">
        <f t="shared" si="1"/>
        <v>0</v>
      </c>
      <c r="M48" s="23" t="e">
        <f t="shared" si="53"/>
        <v>#VALUE!</v>
      </c>
      <c r="N48" s="14" t="e">
        <f t="shared" si="7"/>
        <v>#VALUE!</v>
      </c>
      <c r="Q48" s="72">
        <f t="shared" si="8"/>
        <v>65</v>
      </c>
      <c r="R48" s="85"/>
      <c r="S48" s="72" t="str">
        <f t="shared" si="9"/>
        <v>OCULTAR</v>
      </c>
      <c r="V48" s="79" t="str">
        <f t="shared" si="10"/>
        <v/>
      </c>
      <c r="W48" s="43">
        <f t="shared" si="11"/>
        <v>65</v>
      </c>
      <c r="X48" s="80">
        <f t="shared" si="17"/>
        <v>30.581162953452232</v>
      </c>
    </row>
    <row r="49" spans="1:24" hidden="1" x14ac:dyDescent="0.25">
      <c r="A49" s="11">
        <f t="shared" si="12"/>
        <v>38</v>
      </c>
      <c r="B49" s="44" t="str">
        <f t="shared" si="13"/>
        <v/>
      </c>
      <c r="C49" s="44">
        <f t="shared" si="18"/>
        <v>66</v>
      </c>
      <c r="D49" s="50" t="str">
        <f t="shared" si="14"/>
        <v/>
      </c>
      <c r="E49" s="45">
        <f t="shared" si="15"/>
        <v>170000</v>
      </c>
      <c r="F49" s="12" t="e">
        <f t="shared" si="49"/>
        <v>#VALUE!</v>
      </c>
      <c r="G49" s="52">
        <f t="shared" si="0"/>
        <v>0</v>
      </c>
      <c r="H49" s="46" t="e">
        <f t="shared" si="50"/>
        <v>#VALUE!</v>
      </c>
      <c r="I49" s="39" t="e">
        <f t="shared" si="51"/>
        <v>#VALUE!</v>
      </c>
      <c r="J49" s="12" t="e">
        <f t="shared" si="52"/>
        <v>#VALUE!</v>
      </c>
      <c r="K49" s="17">
        <f t="shared" si="6"/>
        <v>0</v>
      </c>
      <c r="L49" s="46">
        <f t="shared" si="1"/>
        <v>0</v>
      </c>
      <c r="M49" s="22" t="e">
        <f t="shared" si="53"/>
        <v>#VALUE!</v>
      </c>
      <c r="N49" s="12" t="e">
        <f t="shared" si="7"/>
        <v>#VALUE!</v>
      </c>
      <c r="Q49" s="71">
        <f t="shared" si="8"/>
        <v>66</v>
      </c>
      <c r="R49" s="85"/>
      <c r="S49" s="71" t="str">
        <f t="shared" si="9"/>
        <v>OCULTAR</v>
      </c>
      <c r="V49" s="77" t="str">
        <f t="shared" si="10"/>
        <v/>
      </c>
      <c r="W49" s="45">
        <f t="shared" si="11"/>
        <v>66</v>
      </c>
      <c r="X49" s="78">
        <f t="shared" si="17"/>
        <v>31.957315286357581</v>
      </c>
    </row>
    <row r="50" spans="1:24" hidden="1" x14ac:dyDescent="0.25">
      <c r="A50" s="13">
        <f t="shared" si="12"/>
        <v>39</v>
      </c>
      <c r="B50" s="47" t="str">
        <f t="shared" si="13"/>
        <v/>
      </c>
      <c r="C50" s="47">
        <f t="shared" si="18"/>
        <v>67</v>
      </c>
      <c r="D50" s="51" t="str">
        <f t="shared" si="14"/>
        <v/>
      </c>
      <c r="E50" s="43">
        <f t="shared" si="15"/>
        <v>170000</v>
      </c>
      <c r="F50" s="14" t="e">
        <f t="shared" ref="F50:F53" si="54">+E50*D50</f>
        <v>#VALUE!</v>
      </c>
      <c r="G50" s="53">
        <f t="shared" si="0"/>
        <v>0</v>
      </c>
      <c r="H50" s="40" t="e">
        <f t="shared" ref="H50:H53" si="55">+I50/12</f>
        <v>#VALUE!</v>
      </c>
      <c r="I50" s="41" t="e">
        <f t="shared" ref="I50:I53" si="56">G50*D50</f>
        <v>#VALUE!</v>
      </c>
      <c r="J50" s="14" t="e">
        <f t="shared" ref="J50:J53" si="57">+J49+I50</f>
        <v>#VALUE!</v>
      </c>
      <c r="K50" s="18">
        <f t="shared" si="6"/>
        <v>0</v>
      </c>
      <c r="L50" s="48">
        <f t="shared" si="1"/>
        <v>0</v>
      </c>
      <c r="M50" s="23" t="e">
        <f t="shared" ref="M50:M53" si="58">IF(L50/J50-1&lt;0,"",L50/J50-1)</f>
        <v>#VALUE!</v>
      </c>
      <c r="N50" s="14" t="e">
        <f t="shared" si="7"/>
        <v>#VALUE!</v>
      </c>
      <c r="Q50" s="72">
        <f t="shared" si="8"/>
        <v>67</v>
      </c>
      <c r="R50" s="85"/>
      <c r="S50" s="72" t="str">
        <f t="shared" si="9"/>
        <v>OCULTAR</v>
      </c>
      <c r="V50" s="79" t="str">
        <f t="shared" si="10"/>
        <v/>
      </c>
      <c r="W50" s="43">
        <f t="shared" si="11"/>
        <v>67</v>
      </c>
      <c r="X50" s="80">
        <f t="shared" si="17"/>
        <v>33.395394474243666</v>
      </c>
    </row>
    <row r="51" spans="1:24" hidden="1" x14ac:dyDescent="0.25">
      <c r="A51" s="11">
        <f t="shared" si="12"/>
        <v>40</v>
      </c>
      <c r="B51" s="44" t="str">
        <f t="shared" si="13"/>
        <v/>
      </c>
      <c r="C51" s="44">
        <f t="shared" si="18"/>
        <v>68</v>
      </c>
      <c r="D51" s="50" t="str">
        <f t="shared" si="14"/>
        <v/>
      </c>
      <c r="E51" s="45">
        <f t="shared" si="15"/>
        <v>170000</v>
      </c>
      <c r="F51" s="12" t="e">
        <f t="shared" si="54"/>
        <v>#VALUE!</v>
      </c>
      <c r="G51" s="52">
        <f t="shared" si="0"/>
        <v>0</v>
      </c>
      <c r="H51" s="46" t="e">
        <f t="shared" si="55"/>
        <v>#VALUE!</v>
      </c>
      <c r="I51" s="39" t="e">
        <f t="shared" si="56"/>
        <v>#VALUE!</v>
      </c>
      <c r="J51" s="12" t="e">
        <f t="shared" si="57"/>
        <v>#VALUE!</v>
      </c>
      <c r="K51" s="17">
        <f t="shared" si="6"/>
        <v>0</v>
      </c>
      <c r="L51" s="46">
        <f t="shared" si="1"/>
        <v>0</v>
      </c>
      <c r="M51" s="22" t="e">
        <f t="shared" si="58"/>
        <v>#VALUE!</v>
      </c>
      <c r="N51" s="12" t="e">
        <f t="shared" si="7"/>
        <v>#VALUE!</v>
      </c>
      <c r="Q51" s="71">
        <f t="shared" si="8"/>
        <v>68</v>
      </c>
      <c r="R51" s="85"/>
      <c r="S51" s="71" t="str">
        <f t="shared" si="9"/>
        <v>OCULTAR</v>
      </c>
      <c r="V51" s="77" t="str">
        <f t="shared" si="10"/>
        <v/>
      </c>
      <c r="W51" s="45">
        <f t="shared" si="11"/>
        <v>68</v>
      </c>
      <c r="X51" s="78">
        <f t="shared" si="17"/>
        <v>34.898187225584628</v>
      </c>
    </row>
    <row r="52" spans="1:24" hidden="1" x14ac:dyDescent="0.25">
      <c r="A52" s="13">
        <f t="shared" si="12"/>
        <v>41</v>
      </c>
      <c r="B52" s="47" t="str">
        <f t="shared" si="13"/>
        <v/>
      </c>
      <c r="C52" s="47">
        <f t="shared" si="18"/>
        <v>69</v>
      </c>
      <c r="D52" s="51" t="str">
        <f t="shared" si="14"/>
        <v/>
      </c>
      <c r="E52" s="43">
        <f t="shared" si="15"/>
        <v>170000</v>
      </c>
      <c r="F52" s="14" t="e">
        <f t="shared" si="54"/>
        <v>#VALUE!</v>
      </c>
      <c r="G52" s="53">
        <f t="shared" si="0"/>
        <v>0</v>
      </c>
      <c r="H52" s="40" t="e">
        <f t="shared" si="55"/>
        <v>#VALUE!</v>
      </c>
      <c r="I52" s="41" t="e">
        <f t="shared" si="56"/>
        <v>#VALUE!</v>
      </c>
      <c r="J52" s="14" t="e">
        <f t="shared" si="57"/>
        <v>#VALUE!</v>
      </c>
      <c r="K52" s="18">
        <f t="shared" si="6"/>
        <v>0</v>
      </c>
      <c r="L52" s="48">
        <f t="shared" si="1"/>
        <v>0</v>
      </c>
      <c r="M52" s="23" t="e">
        <f t="shared" si="58"/>
        <v>#VALUE!</v>
      </c>
      <c r="N52" s="14" t="e">
        <f t="shared" si="7"/>
        <v>#VALUE!</v>
      </c>
      <c r="Q52" s="72">
        <f t="shared" si="8"/>
        <v>69</v>
      </c>
      <c r="R52" s="85"/>
      <c r="S52" s="72" t="str">
        <f t="shared" si="9"/>
        <v>OCULTAR</v>
      </c>
      <c r="V52" s="79" t="str">
        <f t="shared" si="10"/>
        <v/>
      </c>
      <c r="W52" s="43">
        <f t="shared" si="11"/>
        <v>69</v>
      </c>
      <c r="X52" s="80">
        <f t="shared" si="17"/>
        <v>36.468605650735931</v>
      </c>
    </row>
    <row r="53" spans="1:24" hidden="1" x14ac:dyDescent="0.25">
      <c r="A53" s="11">
        <f t="shared" si="12"/>
        <v>42</v>
      </c>
      <c r="B53" s="44" t="str">
        <f t="shared" si="13"/>
        <v/>
      </c>
      <c r="C53" s="44">
        <f t="shared" si="18"/>
        <v>70</v>
      </c>
      <c r="D53" s="50" t="str">
        <f t="shared" si="14"/>
        <v/>
      </c>
      <c r="E53" s="45">
        <f t="shared" si="15"/>
        <v>170000</v>
      </c>
      <c r="F53" s="12" t="e">
        <f t="shared" si="54"/>
        <v>#VALUE!</v>
      </c>
      <c r="G53" s="52">
        <f t="shared" si="0"/>
        <v>0</v>
      </c>
      <c r="H53" s="46" t="e">
        <f t="shared" si="55"/>
        <v>#VALUE!</v>
      </c>
      <c r="I53" s="39" t="e">
        <f t="shared" si="56"/>
        <v>#VALUE!</v>
      </c>
      <c r="J53" s="12" t="e">
        <f t="shared" si="57"/>
        <v>#VALUE!</v>
      </c>
      <c r="K53" s="17">
        <f t="shared" si="6"/>
        <v>0</v>
      </c>
      <c r="L53" s="46">
        <f t="shared" si="1"/>
        <v>0</v>
      </c>
      <c r="M53" s="22" t="e">
        <f t="shared" si="58"/>
        <v>#VALUE!</v>
      </c>
      <c r="N53" s="12" t="e">
        <f t="shared" si="7"/>
        <v>#VALUE!</v>
      </c>
      <c r="Q53" s="71">
        <f t="shared" si="8"/>
        <v>70</v>
      </c>
      <c r="R53" s="85"/>
      <c r="S53" s="71" t="str">
        <f t="shared" si="9"/>
        <v>OCULTAR</v>
      </c>
      <c r="V53" s="77" t="str">
        <f t="shared" si="10"/>
        <v/>
      </c>
      <c r="W53" s="45">
        <f t="shared" si="11"/>
        <v>70</v>
      </c>
      <c r="X53" s="78">
        <f t="shared" si="17"/>
        <v>38.109692905019045</v>
      </c>
    </row>
    <row r="54" spans="1:24" hidden="1" x14ac:dyDescent="0.25">
      <c r="A54" s="59">
        <f t="shared" si="12"/>
        <v>43</v>
      </c>
      <c r="B54" s="60" t="str">
        <f t="shared" si="13"/>
        <v/>
      </c>
      <c r="C54" s="60">
        <f t="shared" si="18"/>
        <v>71</v>
      </c>
      <c r="D54" s="61" t="str">
        <f t="shared" si="14"/>
        <v/>
      </c>
      <c r="E54" s="62">
        <f t="shared" si="15"/>
        <v>170000</v>
      </c>
      <c r="F54" s="15" t="e">
        <f t="shared" si="49"/>
        <v>#VALUE!</v>
      </c>
      <c r="G54" s="63">
        <f t="shared" si="0"/>
        <v>0</v>
      </c>
      <c r="H54" s="64" t="e">
        <f t="shared" si="50"/>
        <v>#VALUE!</v>
      </c>
      <c r="I54" s="65" t="e">
        <f t="shared" si="51"/>
        <v>#VALUE!</v>
      </c>
      <c r="J54" s="15" t="e">
        <f>+J49+I54</f>
        <v>#VALUE!</v>
      </c>
      <c r="K54" s="66">
        <f t="shared" si="6"/>
        <v>0</v>
      </c>
      <c r="L54" s="19">
        <f t="shared" si="1"/>
        <v>0</v>
      </c>
      <c r="M54" s="67" t="e">
        <f t="shared" si="53"/>
        <v>#VALUE!</v>
      </c>
      <c r="N54" s="15" t="e">
        <f t="shared" si="7"/>
        <v>#VALUE!</v>
      </c>
      <c r="Q54" s="73">
        <f t="shared" si="8"/>
        <v>71</v>
      </c>
      <c r="R54" s="86"/>
      <c r="S54" s="73" t="str">
        <f t="shared" si="9"/>
        <v>OCULTAR</v>
      </c>
      <c r="V54" s="81" t="str">
        <f t="shared" si="10"/>
        <v/>
      </c>
      <c r="W54" s="62">
        <f t="shared" si="11"/>
        <v>71</v>
      </c>
      <c r="X54" s="82">
        <f>+X49*(1+($X$7))</f>
        <v>33.395394474243666</v>
      </c>
    </row>
    <row r="55" spans="1:24" x14ac:dyDescent="0.25">
      <c r="B55" s="47"/>
      <c r="I55" s="48"/>
      <c r="J55" s="48"/>
      <c r="K55" s="43"/>
      <c r="L55" s="48"/>
      <c r="M55" s="58"/>
      <c r="N55" s="48"/>
    </row>
    <row r="56" spans="1:24" ht="15" customHeight="1" x14ac:dyDescent="0.25">
      <c r="B56" s="47"/>
      <c r="L56" s="151" t="s">
        <v>24</v>
      </c>
      <c r="M56" s="152"/>
      <c r="N56" s="153"/>
    </row>
    <row r="57" spans="1:24" ht="15.75" customHeight="1" x14ac:dyDescent="0.25">
      <c r="L57" s="149" t="s">
        <v>20</v>
      </c>
      <c r="M57" s="150"/>
      <c r="N57" s="31">
        <f>VLOOKUP(64,$C$12:$L$55,8,0)</f>
        <v>804917.01737302192</v>
      </c>
    </row>
    <row r="58" spans="1:24" ht="15.75" customHeight="1" x14ac:dyDescent="0.25">
      <c r="H58" s="159" t="str">
        <f>+R6</f>
        <v>Alvaro Rodriguez</v>
      </c>
      <c r="I58" s="159"/>
      <c r="J58" s="159"/>
      <c r="L58" s="149" t="s">
        <v>30</v>
      </c>
      <c r="M58" s="150"/>
      <c r="N58" s="2">
        <f>VLOOKUP(64,$C$12:$L$55,10,0)</f>
        <v>3583322.1628338429</v>
      </c>
    </row>
    <row r="59" spans="1:24" ht="15" customHeight="1" x14ac:dyDescent="0.25">
      <c r="H59" s="159"/>
      <c r="I59" s="159"/>
      <c r="J59" s="159"/>
      <c r="L59" s="149" t="s">
        <v>26</v>
      </c>
      <c r="M59" s="150"/>
      <c r="N59" s="49">
        <f>+N58-N57</f>
        <v>2778405.1454608208</v>
      </c>
    </row>
    <row r="60" spans="1:24" ht="15" customHeight="1" x14ac:dyDescent="0.25">
      <c r="L60" s="149" t="s">
        <v>19</v>
      </c>
      <c r="M60" s="150"/>
      <c r="N60" s="30">
        <f>+N58/N57-1</f>
        <v>3.4517907877368526</v>
      </c>
    </row>
    <row r="65" spans="4:12" x14ac:dyDescent="0.25">
      <c r="F65" t="s">
        <v>91</v>
      </c>
      <c r="G65" t="s">
        <v>88</v>
      </c>
      <c r="H65" t="s">
        <v>89</v>
      </c>
      <c r="I65" t="s">
        <v>90</v>
      </c>
    </row>
    <row r="66" spans="4:12" x14ac:dyDescent="0.25">
      <c r="D66" t="s">
        <v>87</v>
      </c>
      <c r="F66" s="92">
        <v>34170</v>
      </c>
      <c r="G66" s="93">
        <v>1800</v>
      </c>
      <c r="H66" s="93">
        <v>2200</v>
      </c>
      <c r="I66" s="1">
        <v>10000000</v>
      </c>
    </row>
    <row r="67" spans="4:12" x14ac:dyDescent="0.25">
      <c r="D67" t="s">
        <v>92</v>
      </c>
      <c r="F67" s="57">
        <v>32940</v>
      </c>
      <c r="G67" s="93">
        <v>1000</v>
      </c>
      <c r="H67" s="93">
        <v>4000</v>
      </c>
    </row>
    <row r="68" spans="4:12" x14ac:dyDescent="0.25">
      <c r="D68" t="s">
        <v>93</v>
      </c>
      <c r="F68" s="92">
        <v>32826</v>
      </c>
      <c r="G68" t="s">
        <v>95</v>
      </c>
      <c r="H68" t="s">
        <v>96</v>
      </c>
      <c r="I68" s="94" t="s">
        <v>97</v>
      </c>
      <c r="J68" t="s">
        <v>94</v>
      </c>
      <c r="K68" t="s">
        <v>98</v>
      </c>
      <c r="L68" s="57">
        <v>23743</v>
      </c>
    </row>
    <row r="69" spans="4:12" x14ac:dyDescent="0.25">
      <c r="H69" s="1"/>
    </row>
  </sheetData>
  <mergeCells count="26">
    <mergeCell ref="AX2:AY2"/>
    <mergeCell ref="BA2:BB2"/>
    <mergeCell ref="Q2:T2"/>
    <mergeCell ref="H58:J59"/>
    <mergeCell ref="L57:M57"/>
    <mergeCell ref="L58:M58"/>
    <mergeCell ref="L59:M59"/>
    <mergeCell ref="L60:M60"/>
    <mergeCell ref="L56:N56"/>
    <mergeCell ref="V9:X9"/>
    <mergeCell ref="V10:V11"/>
    <mergeCell ref="W10:W11"/>
    <mergeCell ref="X10:X11"/>
    <mergeCell ref="F1:N1"/>
    <mergeCell ref="F2:N2"/>
    <mergeCell ref="F3:N3"/>
    <mergeCell ref="G10:J10"/>
    <mergeCell ref="L6:L7"/>
    <mergeCell ref="N5:N6"/>
    <mergeCell ref="A9:N9"/>
    <mergeCell ref="A10:A11"/>
    <mergeCell ref="B10:B11"/>
    <mergeCell ref="C10:C11"/>
    <mergeCell ref="D10:D11"/>
    <mergeCell ref="K10:N10"/>
    <mergeCell ref="E10:F10"/>
  </mergeCells>
  <printOptions horizontalCentered="1" verticalCentered="1"/>
  <pageMargins left="0.39370078740157483" right="0.59055118110236227" top="0" bottom="0" header="0" footer="0"/>
  <pageSetup scale="83" orientation="landscape" verticalDpi="300" r:id="rId1"/>
  <headerFooter>
    <oddHeader>&amp;L&amp;"Calibri"&amp;10&amp;K000000Signify Classified - 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6"/>
  <sheetViews>
    <sheetView showGridLines="0" tabSelected="1" zoomScaleNormal="100" workbookViewId="0"/>
  </sheetViews>
  <sheetFormatPr baseColWidth="10" defaultRowHeight="15" x14ac:dyDescent="0.25"/>
  <cols>
    <col min="1" max="1" width="10.7109375" style="122" customWidth="1"/>
    <col min="2" max="2" width="16.42578125" style="122" customWidth="1"/>
    <col min="3" max="6" width="32.7109375" style="122" customWidth="1"/>
    <col min="7" max="16384" width="11.42578125" style="122"/>
  </cols>
  <sheetData>
    <row r="1" spans="2:7" ht="30" x14ac:dyDescent="0.25">
      <c r="B1" s="123"/>
      <c r="C1" s="123"/>
      <c r="D1" s="124" t="s">
        <v>113</v>
      </c>
      <c r="E1" s="130"/>
      <c r="F1" s="123"/>
      <c r="G1" s="123"/>
    </row>
    <row r="2" spans="2:7" ht="25.5" x14ac:dyDescent="0.25">
      <c r="B2" s="123"/>
      <c r="C2" s="123"/>
      <c r="D2" s="125" t="s">
        <v>114</v>
      </c>
      <c r="E2" s="130"/>
      <c r="F2" s="123"/>
      <c r="G2" s="123"/>
    </row>
    <row r="3" spans="2:7" x14ac:dyDescent="0.25">
      <c r="B3" s="123"/>
      <c r="C3" s="123"/>
      <c r="D3" s="126" t="s">
        <v>115</v>
      </c>
      <c r="E3" s="130"/>
      <c r="F3" s="123"/>
      <c r="G3" s="123"/>
    </row>
    <row r="4" spans="2:7" x14ac:dyDescent="0.25">
      <c r="B4" s="123"/>
      <c r="C4" s="123"/>
      <c r="D4" s="126" t="s">
        <v>116</v>
      </c>
      <c r="E4" s="130"/>
      <c r="F4" s="123"/>
      <c r="G4" s="123"/>
    </row>
    <row r="5" spans="2:7" ht="15.75" thickBot="1" x14ac:dyDescent="0.3">
      <c r="B5" s="123"/>
      <c r="C5" s="123"/>
      <c r="D5" s="123"/>
      <c r="E5" s="123"/>
      <c r="F5" s="123"/>
      <c r="G5" s="123"/>
    </row>
    <row r="6" spans="2:7" ht="15" customHeight="1" thickTop="1" x14ac:dyDescent="0.25">
      <c r="B6" s="123"/>
      <c r="C6" s="160" t="s">
        <v>103</v>
      </c>
      <c r="D6" s="161"/>
      <c r="E6" s="161"/>
      <c r="F6" s="162"/>
      <c r="G6" s="123"/>
    </row>
    <row r="7" spans="2:7" ht="15" customHeight="1" x14ac:dyDescent="0.25">
      <c r="B7" s="123"/>
      <c r="C7" s="163"/>
      <c r="D7" s="164"/>
      <c r="E7" s="164"/>
      <c r="F7" s="165"/>
      <c r="G7" s="123"/>
    </row>
    <row r="8" spans="2:7" ht="15" customHeight="1" x14ac:dyDescent="0.25">
      <c r="B8" s="123"/>
      <c r="C8" s="163"/>
      <c r="D8" s="164"/>
      <c r="E8" s="164"/>
      <c r="F8" s="165"/>
      <c r="G8" s="123"/>
    </row>
    <row r="9" spans="2:7" ht="15" customHeight="1" x14ac:dyDescent="0.25">
      <c r="B9" s="123"/>
      <c r="C9" s="166" t="s">
        <v>121</v>
      </c>
      <c r="D9" s="167"/>
      <c r="E9" s="167"/>
      <c r="F9" s="168"/>
      <c r="G9" s="123"/>
    </row>
    <row r="10" spans="2:7" ht="15" customHeight="1" thickBot="1" x14ac:dyDescent="0.3">
      <c r="B10" s="123"/>
      <c r="C10" s="169"/>
      <c r="D10" s="170"/>
      <c r="E10" s="170"/>
      <c r="F10" s="171"/>
      <c r="G10" s="123"/>
    </row>
    <row r="11" spans="2:7" ht="15" customHeight="1" thickTop="1" thickBot="1" x14ac:dyDescent="0.3">
      <c r="B11" s="123"/>
      <c r="C11" s="127"/>
      <c r="D11" s="127"/>
      <c r="E11" s="127"/>
      <c r="F11" s="127"/>
      <c r="G11" s="123"/>
    </row>
    <row r="12" spans="2:7" ht="51" customHeight="1" thickTop="1" x14ac:dyDescent="0.25">
      <c r="B12" s="123"/>
      <c r="C12" s="129" t="s">
        <v>122</v>
      </c>
      <c r="D12" s="128" t="s">
        <v>123</v>
      </c>
      <c r="E12" s="128" t="s">
        <v>124</v>
      </c>
      <c r="F12" s="131" t="s">
        <v>128</v>
      </c>
      <c r="G12" s="123"/>
    </row>
    <row r="13" spans="2:7" ht="51" customHeight="1" thickBot="1" x14ac:dyDescent="0.3">
      <c r="B13" s="123"/>
      <c r="C13" s="133">
        <v>35</v>
      </c>
      <c r="D13" s="134">
        <v>55</v>
      </c>
      <c r="E13" s="132">
        <v>55555</v>
      </c>
      <c r="F13" s="135">
        <f>(E13*(1+0.045)^(D13-C13))</f>
        <v>133982.77264984194</v>
      </c>
      <c r="G13" s="123"/>
    </row>
    <row r="14" spans="2:7" ht="15.75" thickTop="1" x14ac:dyDescent="0.25">
      <c r="B14" s="123"/>
      <c r="C14" s="123" t="s">
        <v>125</v>
      </c>
      <c r="D14" s="123"/>
      <c r="E14" s="123"/>
      <c r="F14" s="123"/>
      <c r="G14" s="123"/>
    </row>
    <row r="15" spans="2:7" x14ac:dyDescent="0.25">
      <c r="B15" s="123"/>
      <c r="C15" s="123" t="s">
        <v>126</v>
      </c>
      <c r="D15" s="123"/>
      <c r="E15" s="123"/>
      <c r="F15" s="123"/>
      <c r="G15" s="123"/>
    </row>
    <row r="16" spans="2:7" x14ac:dyDescent="0.25">
      <c r="B16" s="123"/>
      <c r="C16" s="123" t="s">
        <v>127</v>
      </c>
      <c r="D16" s="123"/>
      <c r="E16" s="123"/>
      <c r="F16" s="123"/>
      <c r="G16" s="123"/>
    </row>
  </sheetData>
  <sheetProtection algorithmName="SHA-512" hashValue="H1HLoKecTunpTDTBsRH7KuJfQD1AK8m2LbDZnnbZJAxBzmV5SysUVknqrbfTTN3EPwO+ZqXBbjTdkDaDcRIsAw==" saltValue="ejzS/EbZh93UL0ko75DlSQ==" spinCount="100000" sheet="1" objects="1" scenarios="1"/>
  <mergeCells count="2">
    <mergeCell ref="C6:F8"/>
    <mergeCell ref="C9:F10"/>
  </mergeCells>
  <pageMargins left="0.7" right="0.7" top="0.75" bottom="0.75" header="0.3" footer="0.3"/>
  <pageSetup paperSize="9" scale="96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6"/>
  <sheetViews>
    <sheetView showGridLines="0" zoomScale="67" zoomScaleNormal="70" workbookViewId="0">
      <selection activeCell="B6" sqref="B6:E8"/>
    </sheetView>
  </sheetViews>
  <sheetFormatPr baseColWidth="10" defaultRowHeight="15" outlineLevelRow="1" x14ac:dyDescent="0.25"/>
  <cols>
    <col min="1" max="1" width="3.7109375" style="97" customWidth="1"/>
    <col min="2" max="5" width="21.5703125" style="98" customWidth="1"/>
    <col min="6" max="6" width="3.28515625" style="97" customWidth="1"/>
    <col min="7" max="7" width="19.7109375" style="97" customWidth="1"/>
    <col min="8" max="8" width="22" style="97" customWidth="1"/>
    <col min="9" max="9" width="19.7109375" style="97" customWidth="1"/>
    <col min="10" max="10" width="22.140625" style="97" customWidth="1"/>
    <col min="11" max="11" width="3.28515625" style="97" customWidth="1"/>
    <col min="12" max="12" width="7.7109375" style="97" customWidth="1"/>
    <col min="13" max="13" width="11.42578125" style="97"/>
    <col min="14" max="16" width="13.140625" style="97" customWidth="1"/>
    <col min="17" max="20" width="11.42578125" style="97"/>
    <col min="21" max="21" width="15.42578125" style="97" bestFit="1" customWidth="1"/>
    <col min="22" max="22" width="17.42578125" style="97" bestFit="1" customWidth="1"/>
    <col min="23" max="23" width="11.42578125" style="97"/>
    <col min="24" max="24" width="14.85546875" style="97" bestFit="1" customWidth="1"/>
    <col min="25" max="16384" width="11.42578125" style="97"/>
  </cols>
  <sheetData>
    <row r="1" spans="1:30" ht="11.25" customHeight="1" outlineLevel="1" x14ac:dyDescent="0.25">
      <c r="A1" s="95"/>
      <c r="B1" s="96"/>
      <c r="C1" s="96"/>
      <c r="D1" s="96"/>
      <c r="E1" s="96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</row>
    <row r="2" spans="1:30" ht="15" customHeight="1" outlineLevel="1" x14ac:dyDescent="0.25">
      <c r="A2" s="95"/>
      <c r="C2" s="174" t="s">
        <v>113</v>
      </c>
      <c r="D2" s="174"/>
      <c r="E2" s="174"/>
      <c r="G2" s="172" t="s">
        <v>117</v>
      </c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</row>
    <row r="3" spans="1:30" ht="17.100000000000001" customHeight="1" outlineLevel="1" x14ac:dyDescent="0.25">
      <c r="A3" s="95"/>
      <c r="C3" s="174"/>
      <c r="D3" s="174"/>
      <c r="E3" s="174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3"/>
      <c r="S3" s="95"/>
      <c r="T3" s="95"/>
      <c r="U3" s="99"/>
      <c r="V3" s="99"/>
      <c r="W3" s="99"/>
      <c r="X3" s="99"/>
      <c r="Y3" s="95"/>
      <c r="Z3" s="95"/>
      <c r="AA3" s="95"/>
      <c r="AB3" s="95"/>
      <c r="AC3" s="95"/>
      <c r="AD3" s="95"/>
    </row>
    <row r="4" spans="1:30" ht="17.100000000000001" customHeight="1" outlineLevel="1" x14ac:dyDescent="0.25">
      <c r="A4" s="95"/>
      <c r="C4" s="100" t="s">
        <v>114</v>
      </c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3"/>
      <c r="S4" s="95"/>
      <c r="T4" s="95"/>
      <c r="U4" s="101"/>
      <c r="V4" s="101"/>
      <c r="W4" s="101"/>
      <c r="X4" s="102"/>
      <c r="Y4" s="95"/>
      <c r="Z4" s="95"/>
      <c r="AA4" s="95"/>
      <c r="AB4" s="95"/>
      <c r="AC4" s="95"/>
      <c r="AD4" s="95"/>
    </row>
    <row r="5" spans="1:30" ht="11.25" customHeight="1" outlineLevel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102"/>
      <c r="U5" s="101"/>
      <c r="V5" s="101"/>
      <c r="W5" s="101"/>
      <c r="X5" s="102"/>
      <c r="Y5" s="95"/>
      <c r="Z5" s="95"/>
      <c r="AA5" s="95"/>
      <c r="AB5" s="95"/>
      <c r="AC5" s="95"/>
      <c r="AD5" s="95"/>
    </row>
    <row r="6" spans="1:30" ht="14.45" customHeight="1" x14ac:dyDescent="0.25">
      <c r="A6" s="95"/>
      <c r="B6" s="175" t="s">
        <v>118</v>
      </c>
      <c r="C6" s="175"/>
      <c r="D6" s="175"/>
      <c r="E6" s="175"/>
      <c r="F6" s="95"/>
      <c r="G6" s="180" t="s">
        <v>86</v>
      </c>
      <c r="H6" s="183" t="s">
        <v>120</v>
      </c>
      <c r="I6" s="183" t="s">
        <v>119</v>
      </c>
      <c r="J6" s="183" t="s">
        <v>75</v>
      </c>
      <c r="K6" s="95"/>
      <c r="L6" s="179" t="s">
        <v>30</v>
      </c>
      <c r="M6" s="179"/>
      <c r="N6" s="179"/>
      <c r="O6" s="179"/>
      <c r="P6" s="179"/>
      <c r="Q6" s="179"/>
      <c r="R6" s="179"/>
      <c r="S6" s="95"/>
      <c r="T6" s="102"/>
      <c r="U6" s="103"/>
      <c r="V6" s="104"/>
      <c r="W6" s="103"/>
      <c r="X6" s="102"/>
      <c r="Y6" s="95"/>
      <c r="Z6" s="95"/>
      <c r="AA6" s="95"/>
      <c r="AB6" s="95"/>
      <c r="AC6" s="95"/>
      <c r="AD6" s="95"/>
    </row>
    <row r="7" spans="1:30" ht="14.45" customHeight="1" x14ac:dyDescent="0.25">
      <c r="A7" s="95"/>
      <c r="B7" s="175"/>
      <c r="C7" s="175"/>
      <c r="D7" s="175"/>
      <c r="E7" s="175"/>
      <c r="F7" s="95"/>
      <c r="G7" s="181"/>
      <c r="H7" s="184"/>
      <c r="I7" s="184"/>
      <c r="J7" s="184"/>
      <c r="K7" s="95"/>
      <c r="L7" s="179"/>
      <c r="M7" s="179"/>
      <c r="N7" s="179"/>
      <c r="O7" s="179"/>
      <c r="P7" s="179"/>
      <c r="Q7" s="179"/>
      <c r="R7" s="179"/>
      <c r="S7" s="95"/>
      <c r="T7" s="102"/>
      <c r="U7" s="101"/>
      <c r="V7" s="101"/>
      <c r="W7" s="103"/>
      <c r="X7" s="102"/>
      <c r="Y7" s="95"/>
      <c r="Z7" s="95"/>
      <c r="AA7" s="95"/>
      <c r="AB7" s="95"/>
      <c r="AC7" s="95"/>
      <c r="AD7" s="95"/>
    </row>
    <row r="8" spans="1:30" ht="15.75" customHeight="1" x14ac:dyDescent="0.25">
      <c r="A8" s="95"/>
      <c r="B8" s="175"/>
      <c r="C8" s="175"/>
      <c r="D8" s="175"/>
      <c r="E8" s="175"/>
      <c r="F8" s="95"/>
      <c r="G8" s="182"/>
      <c r="H8" s="185"/>
      <c r="I8" s="185"/>
      <c r="J8" s="185"/>
      <c r="K8" s="95"/>
      <c r="L8" s="179"/>
      <c r="M8" s="179"/>
      <c r="N8" s="179"/>
      <c r="O8" s="179"/>
      <c r="P8" s="179"/>
      <c r="Q8" s="179"/>
      <c r="R8" s="179"/>
      <c r="S8" s="95"/>
      <c r="T8" s="102"/>
      <c r="U8" s="105"/>
      <c r="V8" s="102"/>
      <c r="W8" s="102"/>
      <c r="X8" s="102"/>
      <c r="Y8" s="95"/>
      <c r="Z8" s="95"/>
      <c r="AA8" s="95"/>
      <c r="AB8" s="95"/>
      <c r="AC8" s="95"/>
      <c r="AD8" s="95"/>
    </row>
    <row r="9" spans="1:30" ht="17.25" customHeight="1" x14ac:dyDescent="0.25">
      <c r="A9" s="95"/>
      <c r="B9" s="199" t="s">
        <v>100</v>
      </c>
      <c r="C9" s="199"/>
      <c r="D9" s="199"/>
      <c r="E9" s="199"/>
      <c r="F9" s="95"/>
      <c r="G9" s="98"/>
      <c r="H9" s="98"/>
      <c r="I9" s="98"/>
      <c r="J9" s="98"/>
      <c r="K9" s="95"/>
      <c r="L9" s="95"/>
      <c r="M9" s="95"/>
      <c r="N9" s="95"/>
      <c r="O9" s="95"/>
      <c r="P9" s="95"/>
      <c r="Q9" s="95"/>
      <c r="R9" s="95"/>
      <c r="S9" s="95"/>
      <c r="T9" s="102"/>
      <c r="U9" s="102"/>
      <c r="V9" s="102"/>
      <c r="W9" s="102"/>
      <c r="X9" s="102"/>
      <c r="Y9" s="95"/>
      <c r="Z9" s="95"/>
      <c r="AA9" s="95"/>
      <c r="AB9" s="95"/>
      <c r="AC9" s="95"/>
      <c r="AD9" s="95"/>
    </row>
    <row r="10" spans="1:30" ht="17.45" customHeight="1" x14ac:dyDescent="0.25">
      <c r="A10" s="95"/>
      <c r="B10" s="199"/>
      <c r="C10" s="199"/>
      <c r="D10" s="199"/>
      <c r="E10" s="199"/>
      <c r="F10" s="95"/>
      <c r="G10" s="188" t="str">
        <f>+D27</f>
        <v>Mi META de
Ahorro</v>
      </c>
      <c r="H10" s="200">
        <f>+D29</f>
        <v>48233798.153943092</v>
      </c>
      <c r="I10" s="176"/>
      <c r="J10" s="177">
        <f>IFERROR(H10/D29,0)</f>
        <v>1</v>
      </c>
      <c r="K10" s="95"/>
      <c r="L10" s="95"/>
      <c r="M10" s="95"/>
      <c r="N10" s="95"/>
      <c r="O10" s="95"/>
      <c r="P10" s="95"/>
      <c r="Q10" s="95"/>
      <c r="R10" s="95"/>
      <c r="S10" s="95"/>
      <c r="T10" s="102"/>
      <c r="U10" s="102"/>
      <c r="V10" s="102"/>
      <c r="W10" s="102"/>
      <c r="X10" s="106"/>
      <c r="Y10" s="95"/>
      <c r="Z10" s="95"/>
      <c r="AA10" s="95"/>
      <c r="AB10" s="95"/>
      <c r="AC10" s="95"/>
      <c r="AD10" s="95"/>
    </row>
    <row r="11" spans="1:30" ht="17.45" customHeight="1" x14ac:dyDescent="0.25">
      <c r="A11" s="95"/>
      <c r="B11" s="199"/>
      <c r="C11" s="199"/>
      <c r="D11" s="199"/>
      <c r="E11" s="199"/>
      <c r="F11" s="95"/>
      <c r="G11" s="188"/>
      <c r="H11" s="200"/>
      <c r="I11" s="176"/>
      <c r="J11" s="177"/>
      <c r="K11" s="95"/>
      <c r="L11" s="95"/>
      <c r="M11" s="107"/>
      <c r="N11" s="107" t="s">
        <v>106</v>
      </c>
      <c r="O11" s="107" t="s">
        <v>105</v>
      </c>
      <c r="P11" s="107" t="s">
        <v>108</v>
      </c>
      <c r="Q11" s="95"/>
      <c r="R11" s="95"/>
      <c r="S11" s="95"/>
      <c r="T11" s="108"/>
      <c r="U11" s="102"/>
      <c r="V11" s="102"/>
      <c r="W11" s="102"/>
      <c r="X11" s="106"/>
      <c r="Y11" s="95"/>
      <c r="Z11" s="95"/>
      <c r="AA11" s="95"/>
      <c r="AB11" s="95"/>
      <c r="AC11" s="95"/>
      <c r="AD11" s="95"/>
    </row>
    <row r="12" spans="1:30" ht="17.45" customHeight="1" x14ac:dyDescent="0.25">
      <c r="A12" s="95"/>
      <c r="B12" s="199"/>
      <c r="C12" s="199"/>
      <c r="D12" s="199"/>
      <c r="E12" s="199"/>
      <c r="F12" s="95"/>
      <c r="G12" s="98"/>
      <c r="H12" s="109"/>
      <c r="I12" s="109"/>
      <c r="J12" s="109"/>
      <c r="K12" s="95"/>
      <c r="L12" s="95"/>
      <c r="M12" s="110" t="s">
        <v>106</v>
      </c>
      <c r="N12" s="111">
        <f>+D29</f>
        <v>48233798.153943092</v>
      </c>
      <c r="O12" s="112"/>
      <c r="P12" s="112"/>
      <c r="Q12" s="95"/>
      <c r="R12" s="95"/>
      <c r="S12" s="95"/>
      <c r="T12" s="113"/>
      <c r="U12" s="95"/>
      <c r="V12" s="95"/>
      <c r="W12" s="95"/>
      <c r="X12" s="114"/>
      <c r="Y12" s="95"/>
      <c r="Z12" s="95"/>
      <c r="AA12" s="95"/>
      <c r="AB12" s="95"/>
      <c r="AC12" s="95"/>
      <c r="AD12" s="95"/>
    </row>
    <row r="13" spans="1:30" ht="17.45" customHeight="1" x14ac:dyDescent="0.25">
      <c r="A13" s="95"/>
      <c r="B13" s="199"/>
      <c r="C13" s="199"/>
      <c r="D13" s="199"/>
      <c r="E13" s="199"/>
      <c r="F13" s="95"/>
      <c r="G13" s="188" t="s">
        <v>72</v>
      </c>
      <c r="H13" s="189"/>
      <c r="I13" s="178">
        <f>+J13*H10</f>
        <v>12058449.538485773</v>
      </c>
      <c r="J13" s="187">
        <v>0.25</v>
      </c>
      <c r="K13" s="95"/>
      <c r="L13" s="95"/>
      <c r="M13" s="110" t="s">
        <v>105</v>
      </c>
      <c r="N13" s="111"/>
      <c r="O13" s="111">
        <f>+E29</f>
        <v>33763658.707760163</v>
      </c>
      <c r="P13" s="112"/>
      <c r="Q13" s="95"/>
      <c r="R13" s="95"/>
      <c r="S13" s="95"/>
      <c r="T13" s="113"/>
      <c r="U13" s="95"/>
      <c r="V13" s="95"/>
      <c r="W13" s="95"/>
      <c r="X13" s="114"/>
      <c r="Y13" s="95"/>
      <c r="Z13" s="95"/>
      <c r="AA13" s="95"/>
      <c r="AB13" s="95"/>
      <c r="AC13" s="95"/>
      <c r="AD13" s="95"/>
    </row>
    <row r="14" spans="1:30" ht="17.45" customHeight="1" x14ac:dyDescent="0.25">
      <c r="A14" s="95"/>
      <c r="B14" s="199"/>
      <c r="C14" s="199"/>
      <c r="D14" s="199"/>
      <c r="E14" s="199"/>
      <c r="F14" s="115"/>
      <c r="G14" s="188"/>
      <c r="H14" s="189"/>
      <c r="I14" s="178"/>
      <c r="J14" s="187"/>
      <c r="K14" s="95"/>
      <c r="L14" s="95"/>
      <c r="M14" s="110" t="s">
        <v>72</v>
      </c>
      <c r="N14" s="112"/>
      <c r="O14" s="112"/>
      <c r="P14" s="116">
        <f>+I13</f>
        <v>12058449.538485773</v>
      </c>
      <c r="Q14" s="95"/>
      <c r="R14" s="95"/>
      <c r="S14" s="95"/>
      <c r="T14" s="113"/>
      <c r="U14" s="95"/>
      <c r="V14" s="95"/>
      <c r="W14" s="95"/>
      <c r="X14" s="114"/>
      <c r="Y14" s="95"/>
      <c r="Z14" s="95"/>
      <c r="AA14" s="95"/>
      <c r="AB14" s="95"/>
      <c r="AC14" s="95"/>
      <c r="AD14" s="95"/>
    </row>
    <row r="15" spans="1:30" ht="17.45" customHeight="1" x14ac:dyDescent="0.25">
      <c r="A15" s="95"/>
      <c r="B15" s="199"/>
      <c r="C15" s="199"/>
      <c r="D15" s="199"/>
      <c r="E15" s="199"/>
      <c r="F15" s="115"/>
      <c r="G15" s="188" t="s">
        <v>110</v>
      </c>
      <c r="H15" s="189"/>
      <c r="I15" s="178"/>
      <c r="J15" s="187">
        <f>+I15/H10</f>
        <v>0</v>
      </c>
      <c r="K15" s="95"/>
      <c r="L15" s="95"/>
      <c r="M15" s="110" t="s">
        <v>76</v>
      </c>
      <c r="N15" s="112"/>
      <c r="O15" s="112"/>
      <c r="P15" s="116">
        <f>+I15</f>
        <v>0</v>
      </c>
      <c r="Q15" s="95"/>
      <c r="R15" s="95"/>
      <c r="S15" s="95"/>
      <c r="T15" s="113"/>
      <c r="U15" s="95"/>
      <c r="V15" s="95"/>
      <c r="W15" s="95"/>
      <c r="X15" s="114"/>
      <c r="Y15" s="95"/>
      <c r="Z15" s="95"/>
      <c r="AA15" s="95"/>
      <c r="AB15" s="95"/>
      <c r="AC15" s="95"/>
      <c r="AD15" s="95"/>
    </row>
    <row r="16" spans="1:30" ht="17.45" customHeight="1" x14ac:dyDescent="0.25">
      <c r="A16" s="95"/>
      <c r="B16" s="199"/>
      <c r="C16" s="199"/>
      <c r="D16" s="199"/>
      <c r="E16" s="199"/>
      <c r="F16" s="115"/>
      <c r="G16" s="188"/>
      <c r="H16" s="189"/>
      <c r="I16" s="178"/>
      <c r="J16" s="187"/>
      <c r="K16" s="95"/>
      <c r="L16" s="95"/>
      <c r="M16" s="110" t="s">
        <v>77</v>
      </c>
      <c r="N16" s="112"/>
      <c r="O16" s="112"/>
      <c r="P16" s="116">
        <f>+I17</f>
        <v>0</v>
      </c>
      <c r="Q16" s="95"/>
      <c r="R16" s="95"/>
      <c r="S16" s="95"/>
      <c r="T16" s="113"/>
      <c r="U16" s="95"/>
      <c r="V16" s="95"/>
      <c r="W16" s="95"/>
      <c r="X16" s="114"/>
      <c r="Y16" s="95"/>
      <c r="Z16" s="95"/>
      <c r="AA16" s="95"/>
      <c r="AB16" s="95"/>
      <c r="AC16" s="95"/>
      <c r="AD16" s="95"/>
    </row>
    <row r="17" spans="1:30" ht="17.45" customHeight="1" x14ac:dyDescent="0.25">
      <c r="A17" s="95"/>
      <c r="B17" s="199"/>
      <c r="C17" s="199"/>
      <c r="D17" s="199"/>
      <c r="E17" s="199"/>
      <c r="F17" s="115"/>
      <c r="G17" s="188" t="s">
        <v>111</v>
      </c>
      <c r="H17" s="189"/>
      <c r="I17" s="178"/>
      <c r="J17" s="187">
        <f>+I17/H10</f>
        <v>0</v>
      </c>
      <c r="K17" s="95"/>
      <c r="L17" s="95"/>
      <c r="M17" s="110" t="s">
        <v>78</v>
      </c>
      <c r="N17" s="112"/>
      <c r="O17" s="112"/>
      <c r="P17" s="116">
        <f>+I19</f>
        <v>0</v>
      </c>
      <c r="Q17" s="95"/>
      <c r="R17" s="95"/>
      <c r="S17" s="95"/>
      <c r="T17" s="113"/>
      <c r="U17" s="95"/>
      <c r="V17" s="95"/>
      <c r="W17" s="95"/>
      <c r="X17" s="114"/>
      <c r="Y17" s="95"/>
      <c r="Z17" s="95"/>
      <c r="AA17" s="95"/>
      <c r="AB17" s="95"/>
      <c r="AC17" s="95"/>
      <c r="AD17" s="95"/>
    </row>
    <row r="18" spans="1:30" ht="17.45" customHeight="1" x14ac:dyDescent="0.25">
      <c r="A18" s="95"/>
      <c r="B18" s="199"/>
      <c r="C18" s="199"/>
      <c r="D18" s="199"/>
      <c r="E18" s="199"/>
      <c r="F18" s="115"/>
      <c r="G18" s="188"/>
      <c r="H18" s="189"/>
      <c r="I18" s="178"/>
      <c r="J18" s="187"/>
      <c r="K18" s="95"/>
      <c r="L18" s="95"/>
      <c r="P18" s="95"/>
      <c r="Q18" s="95"/>
      <c r="R18" s="95"/>
      <c r="S18" s="95"/>
      <c r="T18" s="113"/>
      <c r="U18" s="95"/>
      <c r="V18" s="95"/>
      <c r="W18" s="95"/>
      <c r="X18" s="114"/>
      <c r="Y18" s="95"/>
      <c r="Z18" s="95"/>
      <c r="AA18" s="95"/>
      <c r="AB18" s="95"/>
      <c r="AC18" s="95"/>
      <c r="AD18" s="95"/>
    </row>
    <row r="19" spans="1:30" ht="17.45" customHeight="1" x14ac:dyDescent="0.25">
      <c r="A19" s="95"/>
      <c r="B19" s="198" t="s">
        <v>73</v>
      </c>
      <c r="C19" s="198"/>
      <c r="D19" s="198"/>
      <c r="E19" s="198"/>
      <c r="F19" s="115"/>
      <c r="G19" s="188" t="s">
        <v>112</v>
      </c>
      <c r="H19" s="189"/>
      <c r="I19" s="178"/>
      <c r="J19" s="187">
        <f>+I19/H10</f>
        <v>0</v>
      </c>
      <c r="K19" s="95"/>
      <c r="L19" s="95"/>
      <c r="P19" s="95"/>
      <c r="Q19" s="95"/>
      <c r="R19" s="95"/>
      <c r="S19" s="95"/>
      <c r="T19" s="113"/>
      <c r="U19" s="95"/>
      <c r="V19" s="95"/>
      <c r="W19" s="95"/>
      <c r="X19" s="114"/>
      <c r="Y19" s="95"/>
      <c r="Z19" s="95"/>
      <c r="AA19" s="95"/>
      <c r="AB19" s="95"/>
      <c r="AC19" s="95"/>
      <c r="AD19" s="95"/>
    </row>
    <row r="20" spans="1:30" ht="17.45" customHeight="1" x14ac:dyDescent="0.25">
      <c r="A20" s="95"/>
      <c r="B20" s="198"/>
      <c r="C20" s="198"/>
      <c r="D20" s="198"/>
      <c r="E20" s="198"/>
      <c r="F20" s="95"/>
      <c r="G20" s="188"/>
      <c r="H20" s="189"/>
      <c r="I20" s="178"/>
      <c r="J20" s="187"/>
      <c r="K20" s="95"/>
      <c r="L20" s="95"/>
      <c r="P20" s="95"/>
      <c r="Q20" s="95"/>
      <c r="R20" s="95"/>
      <c r="S20" s="95"/>
      <c r="T20" s="113"/>
      <c r="U20" s="95"/>
      <c r="V20" s="95"/>
      <c r="W20" s="95"/>
      <c r="X20" s="114"/>
      <c r="Y20" s="95"/>
      <c r="Z20" s="95"/>
      <c r="AA20" s="95"/>
      <c r="AB20" s="95"/>
      <c r="AC20" s="95"/>
      <c r="AD20" s="95"/>
    </row>
    <row r="21" spans="1:30" ht="17.45" customHeight="1" x14ac:dyDescent="0.25">
      <c r="A21" s="95"/>
      <c r="B21" s="191" t="s">
        <v>25</v>
      </c>
      <c r="C21" s="191" t="s">
        <v>22</v>
      </c>
      <c r="D21" s="191" t="s">
        <v>74</v>
      </c>
      <c r="E21" s="191" t="s">
        <v>79</v>
      </c>
      <c r="F21" s="95"/>
      <c r="G21" s="193" t="s">
        <v>80</v>
      </c>
      <c r="H21" s="186">
        <f>+H10</f>
        <v>48233798.153943092</v>
      </c>
      <c r="I21" s="186">
        <f>+SUM(I10:I20)</f>
        <v>12058449.538485773</v>
      </c>
      <c r="J21" s="190">
        <f>+I21/H10</f>
        <v>0.25</v>
      </c>
      <c r="Q21" s="95"/>
      <c r="R21" s="95"/>
      <c r="S21" s="95"/>
      <c r="T21" s="113"/>
      <c r="U21" s="95"/>
      <c r="V21" s="95"/>
      <c r="W21" s="95"/>
      <c r="X21" s="114"/>
      <c r="Y21" s="95"/>
      <c r="Z21" s="95"/>
      <c r="AA21" s="95"/>
      <c r="AB21" s="95"/>
      <c r="AC21" s="95"/>
      <c r="AD21" s="95"/>
    </row>
    <row r="22" spans="1:30" ht="17.45" customHeight="1" x14ac:dyDescent="0.25">
      <c r="A22" s="95"/>
      <c r="B22" s="192"/>
      <c r="C22" s="192"/>
      <c r="D22" s="192"/>
      <c r="E22" s="192"/>
      <c r="F22" s="95"/>
      <c r="G22" s="193"/>
      <c r="H22" s="186"/>
      <c r="I22" s="186"/>
      <c r="J22" s="190"/>
      <c r="K22" s="95"/>
      <c r="L22" s="95"/>
      <c r="P22" s="95"/>
      <c r="Q22" s="95"/>
      <c r="R22" s="95"/>
      <c r="S22" s="95"/>
      <c r="T22" s="113"/>
      <c r="U22" s="95"/>
      <c r="V22" s="95"/>
      <c r="W22" s="95"/>
      <c r="X22" s="114"/>
      <c r="Y22" s="95"/>
      <c r="Z22" s="95"/>
      <c r="AA22" s="95"/>
      <c r="AB22" s="95"/>
      <c r="AC22" s="95"/>
      <c r="AD22" s="95"/>
    </row>
    <row r="23" spans="1:30" ht="17.45" customHeight="1" x14ac:dyDescent="0.25">
      <c r="A23" s="95"/>
      <c r="B23" s="211">
        <f>+Datos!C13</f>
        <v>35</v>
      </c>
      <c r="C23" s="213">
        <f>+Datos!D13</f>
        <v>55</v>
      </c>
      <c r="D23" s="215">
        <v>85</v>
      </c>
      <c r="E23" s="217">
        <f>+Datos!E13</f>
        <v>55555</v>
      </c>
      <c r="F23" s="95"/>
      <c r="K23" s="95"/>
      <c r="L23" s="95"/>
      <c r="M23" s="95"/>
      <c r="N23" s="95"/>
      <c r="O23" s="95"/>
      <c r="P23" s="95"/>
      <c r="Q23" s="95"/>
      <c r="R23" s="95"/>
      <c r="S23" s="95"/>
      <c r="T23" s="113"/>
      <c r="U23" s="95"/>
      <c r="V23" s="95"/>
      <c r="W23" s="95"/>
      <c r="X23" s="114"/>
      <c r="Y23" s="95"/>
      <c r="Z23" s="95"/>
      <c r="AA23" s="95"/>
      <c r="AB23" s="95"/>
      <c r="AC23" s="95"/>
      <c r="AD23" s="95"/>
    </row>
    <row r="24" spans="1:30" ht="17.45" customHeight="1" x14ac:dyDescent="0.25">
      <c r="A24" s="95"/>
      <c r="B24" s="212"/>
      <c r="C24" s="214"/>
      <c r="D24" s="216"/>
      <c r="E24" s="218"/>
      <c r="F24" s="95"/>
      <c r="G24" s="191" t="s">
        <v>84</v>
      </c>
      <c r="H24" s="205">
        <f>+H21*0.7</f>
        <v>33763658.707760163</v>
      </c>
      <c r="I24" s="191" t="s">
        <v>104</v>
      </c>
      <c r="J24" s="208">
        <f>IF(H21-I21&lt;0,"Cubierta",H21-I21)</f>
        <v>36175348.615457319</v>
      </c>
      <c r="K24" s="95"/>
      <c r="L24" s="95"/>
      <c r="M24" s="95"/>
      <c r="N24" s="95"/>
      <c r="O24" s="95"/>
      <c r="P24" s="95"/>
      <c r="Q24" s="95"/>
      <c r="R24" s="95"/>
      <c r="S24" s="95"/>
      <c r="T24" s="113"/>
      <c r="U24" s="95"/>
      <c r="V24" s="95"/>
      <c r="W24" s="95"/>
      <c r="X24" s="114"/>
      <c r="Y24" s="95"/>
      <c r="Z24" s="95"/>
      <c r="AA24" s="95"/>
      <c r="AB24" s="95"/>
      <c r="AC24" s="95"/>
      <c r="AD24" s="95"/>
    </row>
    <row r="25" spans="1:30" ht="17.45" customHeight="1" x14ac:dyDescent="0.25">
      <c r="A25" s="95"/>
      <c r="B25" s="117"/>
      <c r="C25" s="118"/>
      <c r="D25" s="196" t="s">
        <v>107</v>
      </c>
      <c r="E25" s="194">
        <f>(E23*(1+0.045)^B29)</f>
        <v>133982.77264984194</v>
      </c>
      <c r="F25" s="95"/>
      <c r="G25" s="192"/>
      <c r="H25" s="206"/>
      <c r="I25" s="192"/>
      <c r="J25" s="209"/>
      <c r="K25" s="95"/>
      <c r="L25" s="95"/>
      <c r="M25" s="95"/>
      <c r="N25" s="95"/>
      <c r="O25" s="95"/>
      <c r="P25" s="95"/>
      <c r="Q25" s="95"/>
      <c r="R25" s="95"/>
      <c r="S25" s="95"/>
      <c r="T25" s="113"/>
      <c r="U25" s="95"/>
      <c r="V25" s="95"/>
      <c r="W25" s="95"/>
      <c r="X25" s="114"/>
      <c r="Y25" s="95"/>
      <c r="Z25" s="95"/>
      <c r="AA25" s="95"/>
      <c r="AB25" s="95"/>
      <c r="AC25" s="95"/>
      <c r="AD25" s="95"/>
    </row>
    <row r="26" spans="1:30" ht="17.45" customHeight="1" x14ac:dyDescent="0.3">
      <c r="A26" s="95"/>
      <c r="B26" s="119"/>
      <c r="C26" s="119"/>
      <c r="D26" s="197"/>
      <c r="E26" s="195"/>
      <c r="F26" s="95"/>
      <c r="G26" s="120" t="s">
        <v>109</v>
      </c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113"/>
      <c r="U26" s="95"/>
      <c r="V26" s="95"/>
      <c r="W26" s="95"/>
      <c r="X26" s="114"/>
      <c r="Y26" s="95"/>
      <c r="Z26" s="95"/>
      <c r="AA26" s="95"/>
      <c r="AB26" s="95"/>
      <c r="AC26" s="95"/>
      <c r="AD26" s="95"/>
    </row>
    <row r="27" spans="1:30" ht="17.45" customHeight="1" x14ac:dyDescent="0.25">
      <c r="A27" s="95"/>
      <c r="B27" s="191" t="s">
        <v>81</v>
      </c>
      <c r="C27" s="191" t="s">
        <v>82</v>
      </c>
      <c r="D27" s="210" t="s">
        <v>83</v>
      </c>
      <c r="E27" s="210" t="s">
        <v>105</v>
      </c>
      <c r="F27" s="95"/>
      <c r="G27" s="96" t="s">
        <v>102</v>
      </c>
      <c r="H27" s="96"/>
      <c r="I27" s="96"/>
      <c r="J27" s="96"/>
      <c r="K27" s="96"/>
      <c r="L27" s="95"/>
      <c r="M27" s="95"/>
      <c r="N27" s="95"/>
      <c r="O27" s="95"/>
      <c r="P27" s="95"/>
      <c r="Q27" s="95"/>
      <c r="R27" s="95"/>
      <c r="S27" s="95"/>
      <c r="T27" s="113"/>
      <c r="U27" s="95"/>
      <c r="V27" s="95"/>
      <c r="W27" s="95"/>
      <c r="X27" s="114"/>
      <c r="Y27" s="95"/>
      <c r="Z27" s="95"/>
      <c r="AA27" s="95"/>
      <c r="AB27" s="95"/>
      <c r="AC27" s="95"/>
      <c r="AD27" s="95"/>
    </row>
    <row r="28" spans="1:30" ht="17.45" customHeight="1" x14ac:dyDescent="0.25">
      <c r="A28" s="95"/>
      <c r="B28" s="192"/>
      <c r="C28" s="192"/>
      <c r="D28" s="192"/>
      <c r="E28" s="192"/>
      <c r="F28" s="95"/>
      <c r="G28" s="96" t="s">
        <v>101</v>
      </c>
      <c r="H28" s="96"/>
      <c r="I28" s="96"/>
      <c r="J28" s="96"/>
      <c r="K28" s="96"/>
      <c r="L28" s="95"/>
      <c r="M28" s="95"/>
      <c r="N28" s="95"/>
      <c r="O28" s="95"/>
      <c r="P28" s="95"/>
      <c r="Q28" s="95"/>
      <c r="R28" s="95"/>
      <c r="S28" s="95"/>
      <c r="T28" s="113"/>
      <c r="U28" s="95"/>
      <c r="V28" s="95"/>
      <c r="W28" s="95"/>
      <c r="X28" s="114"/>
      <c r="Y28" s="95"/>
      <c r="Z28" s="95"/>
      <c r="AA28" s="95"/>
      <c r="AB28" s="95"/>
      <c r="AC28" s="95"/>
      <c r="AD28" s="95"/>
    </row>
    <row r="29" spans="1:30" ht="17.45" customHeight="1" x14ac:dyDescent="0.25">
      <c r="A29" s="95"/>
      <c r="B29" s="201">
        <f>+C23-B23</f>
        <v>20</v>
      </c>
      <c r="C29" s="201">
        <f>+D23-C23</f>
        <v>30</v>
      </c>
      <c r="D29" s="203">
        <f>(E23*(1+0.045)^B29)*12*C29</f>
        <v>48233798.153943092</v>
      </c>
      <c r="E29" s="203">
        <f>+D29*0.7</f>
        <v>33763658.707760163</v>
      </c>
      <c r="F29" s="95"/>
      <c r="G29" s="207" t="s">
        <v>85</v>
      </c>
      <c r="H29" s="207"/>
      <c r="I29" s="207"/>
      <c r="J29" s="207"/>
      <c r="K29" s="96"/>
      <c r="L29" s="95"/>
      <c r="M29" s="95"/>
      <c r="N29" s="95"/>
      <c r="O29" s="95"/>
      <c r="P29" s="95"/>
      <c r="Q29" s="95"/>
      <c r="R29" s="95"/>
      <c r="S29" s="95"/>
      <c r="T29" s="113"/>
      <c r="U29" s="95"/>
      <c r="V29" s="95"/>
      <c r="W29" s="95"/>
      <c r="X29" s="114"/>
      <c r="Y29" s="95"/>
      <c r="Z29" s="95"/>
      <c r="AA29" s="95"/>
      <c r="AB29" s="95"/>
      <c r="AC29" s="95"/>
      <c r="AD29" s="95"/>
    </row>
    <row r="30" spans="1:30" ht="15" customHeight="1" x14ac:dyDescent="0.25">
      <c r="A30" s="95"/>
      <c r="B30" s="202"/>
      <c r="C30" s="202"/>
      <c r="D30" s="204"/>
      <c r="E30" s="204"/>
      <c r="F30" s="95"/>
      <c r="G30" s="207"/>
      <c r="H30" s="207"/>
      <c r="I30" s="207"/>
      <c r="J30" s="207"/>
      <c r="K30" s="96"/>
      <c r="L30" s="95"/>
      <c r="M30" s="95"/>
      <c r="N30" s="95"/>
      <c r="O30" s="95"/>
      <c r="P30" s="95"/>
      <c r="Q30" s="95"/>
      <c r="R30" s="95"/>
      <c r="S30" s="95"/>
      <c r="T30" s="113"/>
      <c r="U30" s="95"/>
      <c r="V30" s="95"/>
      <c r="W30" s="95"/>
      <c r="X30" s="114"/>
      <c r="Y30" s="95"/>
      <c r="Z30" s="95"/>
      <c r="AA30" s="95"/>
      <c r="AB30" s="95"/>
      <c r="AC30" s="95"/>
      <c r="AD30" s="95"/>
    </row>
    <row r="31" spans="1:30" ht="17.100000000000001" customHeight="1" thickBot="1" x14ac:dyDescent="0.3">
      <c r="A31" s="95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95"/>
      <c r="T31" s="113"/>
      <c r="U31" s="95"/>
      <c r="V31" s="95"/>
      <c r="W31" s="95"/>
      <c r="X31" s="114"/>
      <c r="Y31" s="95"/>
      <c r="Z31" s="95"/>
      <c r="AA31" s="95"/>
      <c r="AB31" s="95"/>
      <c r="AC31" s="95"/>
      <c r="AD31" s="95"/>
    </row>
    <row r="32" spans="1:30" ht="15.75" thickTop="1" x14ac:dyDescent="0.25">
      <c r="A32" s="95"/>
      <c r="B32" s="96"/>
      <c r="C32" s="96"/>
      <c r="D32" s="96"/>
      <c r="E32" s="96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</row>
    <row r="33" spans="1:30" x14ac:dyDescent="0.25">
      <c r="A33" s="95"/>
      <c r="B33" s="96"/>
      <c r="C33" s="96"/>
      <c r="D33" s="96"/>
      <c r="E33" s="96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</row>
    <row r="34" spans="1:30" x14ac:dyDescent="0.25">
      <c r="A34" s="95"/>
      <c r="B34" s="96"/>
      <c r="C34" s="96"/>
      <c r="D34" s="96"/>
      <c r="E34" s="96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</row>
    <row r="35" spans="1:30" x14ac:dyDescent="0.25">
      <c r="A35" s="95"/>
      <c r="B35" s="96"/>
      <c r="C35" s="96"/>
      <c r="D35" s="96"/>
      <c r="E35" s="96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</row>
    <row r="36" spans="1:30" s="98" customFormat="1" ht="17.100000000000001" customHeight="1" x14ac:dyDescent="0.25">
      <c r="A36" s="96"/>
      <c r="B36" s="96"/>
      <c r="C36" s="96"/>
      <c r="D36" s="96"/>
      <c r="E36" s="96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</row>
    <row r="37" spans="1:30" s="98" customFormat="1" ht="17.100000000000001" customHeight="1" x14ac:dyDescent="0.25">
      <c r="A37" s="96"/>
      <c r="B37" s="96"/>
      <c r="C37" s="96"/>
      <c r="D37" s="96"/>
      <c r="E37" s="96"/>
      <c r="F37" s="95"/>
      <c r="G37" s="95"/>
      <c r="H37" s="95"/>
      <c r="I37" s="95"/>
      <c r="J37" s="95"/>
      <c r="L37" s="95"/>
      <c r="M37" s="95"/>
      <c r="N37" s="95"/>
      <c r="O37" s="95"/>
      <c r="P37" s="95"/>
      <c r="Q37" s="95"/>
      <c r="R37" s="95"/>
      <c r="S37" s="95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</row>
    <row r="38" spans="1:30" s="98" customFormat="1" ht="17.100000000000001" customHeight="1" x14ac:dyDescent="0.25">
      <c r="A38" s="96"/>
      <c r="B38" s="96"/>
      <c r="C38" s="96"/>
      <c r="D38" s="96"/>
      <c r="E38" s="96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</row>
    <row r="39" spans="1:30" s="98" customFormat="1" ht="17.100000000000001" customHeight="1" x14ac:dyDescent="0.25">
      <c r="A39" s="96"/>
      <c r="B39" s="96"/>
      <c r="C39" s="96"/>
      <c r="D39" s="96"/>
      <c r="E39" s="96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</row>
    <row r="40" spans="1:30" s="98" customFormat="1" ht="17.100000000000001" customHeight="1" x14ac:dyDescent="0.25">
      <c r="A40" s="96"/>
      <c r="B40" s="96"/>
      <c r="C40" s="96"/>
      <c r="D40" s="96"/>
      <c r="E40" s="96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</row>
    <row r="41" spans="1:30" s="98" customFormat="1" ht="17.100000000000001" customHeight="1" x14ac:dyDescent="0.25">
      <c r="A41" s="96"/>
      <c r="B41" s="96"/>
      <c r="C41" s="96"/>
      <c r="D41" s="96"/>
      <c r="E41" s="96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</row>
    <row r="42" spans="1:30" s="98" customFormat="1" ht="17.100000000000001" customHeight="1" x14ac:dyDescent="0.25">
      <c r="A42" s="96"/>
      <c r="B42" s="96"/>
      <c r="C42" s="96"/>
      <c r="D42" s="96"/>
      <c r="E42" s="96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</row>
    <row r="43" spans="1:30" s="98" customFormat="1" ht="17.100000000000001" customHeight="1" x14ac:dyDescent="0.25">
      <c r="A43" s="96"/>
      <c r="B43" s="96"/>
      <c r="C43" s="96"/>
      <c r="D43" s="96"/>
      <c r="E43" s="96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</row>
    <row r="44" spans="1:30" s="98" customFormat="1" ht="17.100000000000001" customHeight="1" x14ac:dyDescent="0.25">
      <c r="A44" s="96"/>
      <c r="B44" s="96"/>
      <c r="C44" s="96"/>
      <c r="D44" s="96"/>
      <c r="E44" s="96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</row>
    <row r="45" spans="1:30" s="98" customFormat="1" ht="17.100000000000001" customHeight="1" x14ac:dyDescent="0.25">
      <c r="A45" s="96"/>
      <c r="B45" s="96"/>
      <c r="C45" s="96"/>
      <c r="D45" s="96"/>
      <c r="E45" s="96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</row>
    <row r="46" spans="1:30" s="98" customFormat="1" ht="17.100000000000001" customHeight="1" x14ac:dyDescent="0.25">
      <c r="A46" s="96"/>
      <c r="B46" s="96"/>
      <c r="C46" s="96"/>
      <c r="D46" s="96"/>
      <c r="E46" s="96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</row>
    <row r="47" spans="1:30" s="98" customFormat="1" ht="17.100000000000001" customHeight="1" x14ac:dyDescent="0.25">
      <c r="A47" s="96"/>
      <c r="B47" s="96"/>
      <c r="C47" s="96"/>
      <c r="D47" s="96"/>
      <c r="E47" s="96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</row>
    <row r="48" spans="1:30" s="98" customFormat="1" ht="17.100000000000001" customHeight="1" x14ac:dyDescent="0.25">
      <c r="A48" s="96"/>
      <c r="B48" s="96"/>
      <c r="C48" s="96"/>
      <c r="D48" s="96"/>
      <c r="E48" s="96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</row>
    <row r="49" spans="1:30" s="98" customFormat="1" ht="17.100000000000001" customHeight="1" x14ac:dyDescent="0.25">
      <c r="A49" s="96"/>
      <c r="B49" s="96"/>
      <c r="C49" s="96"/>
      <c r="D49" s="96"/>
      <c r="E49" s="96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</row>
    <row r="50" spans="1:30" s="98" customFormat="1" ht="17.100000000000001" customHeight="1" x14ac:dyDescent="0.25">
      <c r="A50" s="96"/>
      <c r="B50" s="96"/>
      <c r="C50" s="96"/>
      <c r="D50" s="96"/>
      <c r="E50" s="96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</row>
    <row r="51" spans="1:30" s="98" customFormat="1" ht="17.100000000000001" customHeight="1" x14ac:dyDescent="0.25">
      <c r="A51" s="96"/>
      <c r="B51" s="96"/>
      <c r="C51" s="96"/>
      <c r="D51" s="96"/>
      <c r="E51" s="96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</row>
    <row r="52" spans="1:30" s="98" customFormat="1" ht="17.100000000000001" customHeight="1" x14ac:dyDescent="0.25">
      <c r="A52" s="96"/>
      <c r="B52" s="96"/>
      <c r="C52" s="96"/>
      <c r="D52" s="96"/>
      <c r="E52" s="96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</row>
    <row r="53" spans="1:30" s="98" customFormat="1" ht="17.100000000000001" customHeight="1" x14ac:dyDescent="0.25">
      <c r="A53" s="96"/>
      <c r="B53" s="96"/>
      <c r="C53" s="96"/>
      <c r="D53" s="96"/>
      <c r="E53" s="96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</row>
    <row r="54" spans="1:30" s="98" customFormat="1" ht="17.100000000000001" customHeight="1" x14ac:dyDescent="0.25">
      <c r="A54" s="96"/>
      <c r="B54" s="96"/>
      <c r="C54" s="96"/>
      <c r="D54" s="96"/>
      <c r="E54" s="96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</row>
    <row r="55" spans="1:30" s="98" customFormat="1" ht="17.100000000000001" customHeight="1" x14ac:dyDescent="0.25">
      <c r="A55" s="96"/>
      <c r="B55" s="96"/>
      <c r="C55" s="96"/>
      <c r="D55" s="96"/>
      <c r="E55" s="96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</row>
    <row r="56" spans="1:30" s="98" customFormat="1" ht="17.100000000000001" customHeight="1" x14ac:dyDescent="0.25">
      <c r="A56" s="96"/>
      <c r="B56" s="96"/>
      <c r="C56" s="96"/>
      <c r="D56" s="96"/>
      <c r="E56" s="96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</row>
    <row r="57" spans="1:30" s="98" customFormat="1" ht="17.100000000000001" customHeight="1" x14ac:dyDescent="0.25">
      <c r="A57" s="96"/>
      <c r="B57" s="96"/>
      <c r="C57" s="96"/>
      <c r="D57" s="96"/>
      <c r="E57" s="96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</row>
    <row r="58" spans="1:30" s="98" customFormat="1" ht="17.100000000000001" customHeight="1" x14ac:dyDescent="0.25">
      <c r="A58" s="96"/>
      <c r="B58" s="96"/>
      <c r="C58" s="96"/>
      <c r="D58" s="96"/>
      <c r="E58" s="96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</row>
    <row r="59" spans="1:30" s="98" customFormat="1" ht="17.100000000000001" customHeight="1" x14ac:dyDescent="0.25">
      <c r="A59" s="96"/>
      <c r="B59" s="96"/>
      <c r="C59" s="96"/>
      <c r="D59" s="96"/>
      <c r="E59" s="96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1:30" s="98" customFormat="1" ht="17.100000000000001" customHeight="1" x14ac:dyDescent="0.25">
      <c r="A60" s="96"/>
      <c r="B60" s="96"/>
      <c r="C60" s="96"/>
      <c r="D60" s="96"/>
      <c r="E60" s="96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</row>
    <row r="61" spans="1:30" s="98" customFormat="1" ht="17.100000000000001" customHeight="1" x14ac:dyDescent="0.25">
      <c r="A61" s="96"/>
      <c r="B61" s="96"/>
      <c r="C61" s="96"/>
      <c r="D61" s="96"/>
      <c r="E61" s="96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</row>
    <row r="62" spans="1:30" s="98" customFormat="1" ht="17.100000000000001" customHeight="1" x14ac:dyDescent="0.25"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</row>
    <row r="63" spans="1:30" s="98" customFormat="1" ht="17.100000000000001" customHeight="1" x14ac:dyDescent="0.25"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</row>
    <row r="64" spans="1:30" s="98" customFormat="1" ht="17.100000000000001" customHeight="1" x14ac:dyDescent="0.25"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</row>
    <row r="65" spans="6:18" s="98" customFormat="1" ht="17.100000000000001" customHeight="1" x14ac:dyDescent="0.25"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</row>
    <row r="66" spans="6:18" s="98" customFormat="1" ht="17.100000000000001" customHeight="1" x14ac:dyDescent="0.25"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</row>
    <row r="67" spans="6:18" s="98" customFormat="1" ht="17.100000000000001" customHeight="1" x14ac:dyDescent="0.25"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</row>
    <row r="68" spans="6:18" s="98" customFormat="1" ht="17.100000000000001" customHeight="1" x14ac:dyDescent="0.25"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</row>
    <row r="69" spans="6:18" s="98" customFormat="1" ht="17.100000000000001" customHeight="1" x14ac:dyDescent="0.25"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</row>
    <row r="70" spans="6:18" s="98" customFormat="1" ht="17.100000000000001" customHeight="1" x14ac:dyDescent="0.25"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</row>
    <row r="71" spans="6:18" s="98" customFormat="1" ht="17.100000000000001" customHeight="1" x14ac:dyDescent="0.25"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</row>
    <row r="72" spans="6:18" s="98" customFormat="1" ht="17.100000000000001" customHeight="1" x14ac:dyDescent="0.25"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</row>
    <row r="73" spans="6:18" s="98" customFormat="1" ht="17.100000000000001" customHeight="1" x14ac:dyDescent="0.25"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</row>
    <row r="74" spans="6:18" s="98" customFormat="1" ht="17.100000000000001" customHeight="1" x14ac:dyDescent="0.25"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</row>
    <row r="75" spans="6:18" s="98" customFormat="1" ht="17.100000000000001" customHeight="1" x14ac:dyDescent="0.25"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</row>
    <row r="76" spans="6:18" s="98" customFormat="1" ht="17.100000000000001" customHeight="1" x14ac:dyDescent="0.25"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</row>
    <row r="77" spans="6:18" s="98" customFormat="1" ht="17.100000000000001" customHeight="1" x14ac:dyDescent="0.25"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</row>
    <row r="78" spans="6:18" s="98" customFormat="1" ht="17.100000000000001" customHeight="1" x14ac:dyDescent="0.25"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</row>
    <row r="79" spans="6:18" s="98" customFormat="1" ht="17.100000000000001" customHeight="1" x14ac:dyDescent="0.25"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</row>
    <row r="80" spans="6:18" s="98" customFormat="1" ht="17.100000000000001" customHeight="1" x14ac:dyDescent="0.25"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</row>
    <row r="81" spans="6:18" s="98" customFormat="1" ht="17.100000000000001" customHeight="1" x14ac:dyDescent="0.25"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</row>
    <row r="82" spans="6:18" s="98" customFormat="1" ht="17.100000000000001" customHeight="1" x14ac:dyDescent="0.25"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</row>
    <row r="83" spans="6:18" s="98" customFormat="1" ht="17.100000000000001" customHeight="1" x14ac:dyDescent="0.25"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</row>
    <row r="84" spans="6:18" s="98" customFormat="1" ht="17.100000000000001" customHeight="1" x14ac:dyDescent="0.25"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</row>
    <row r="85" spans="6:18" s="98" customFormat="1" ht="17.100000000000001" customHeight="1" x14ac:dyDescent="0.25"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</row>
    <row r="86" spans="6:18" s="98" customFormat="1" ht="17.100000000000001" customHeight="1" x14ac:dyDescent="0.25"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</row>
    <row r="87" spans="6:18" s="98" customFormat="1" ht="17.100000000000001" customHeight="1" x14ac:dyDescent="0.25"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</row>
    <row r="88" spans="6:18" s="98" customFormat="1" ht="17.100000000000001" customHeight="1" x14ac:dyDescent="0.25"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</row>
    <row r="89" spans="6:18" s="98" customFormat="1" ht="17.100000000000001" customHeight="1" x14ac:dyDescent="0.25"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</row>
    <row r="90" spans="6:18" s="98" customFormat="1" ht="17.100000000000001" customHeight="1" x14ac:dyDescent="0.25"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</row>
    <row r="91" spans="6:18" s="98" customFormat="1" ht="17.100000000000001" customHeight="1" x14ac:dyDescent="0.25"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</row>
    <row r="92" spans="6:18" s="98" customFormat="1" ht="17.100000000000001" customHeight="1" x14ac:dyDescent="0.25"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</row>
    <row r="93" spans="6:18" s="98" customFormat="1" ht="17.100000000000001" customHeight="1" x14ac:dyDescent="0.25"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</row>
    <row r="94" spans="6:18" s="98" customFormat="1" ht="17.100000000000001" customHeight="1" x14ac:dyDescent="0.25"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</row>
    <row r="95" spans="6:18" s="98" customFormat="1" ht="17.100000000000001" customHeight="1" x14ac:dyDescent="0.25"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</row>
    <row r="96" spans="6:18" s="98" customFormat="1" ht="17.100000000000001" customHeight="1" x14ac:dyDescent="0.25"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</row>
  </sheetData>
  <sheetProtection algorithmName="SHA-512" hashValue="rs2fYZrO2Qf6vqzFcc67MWHaYIzn7MzYdYAOaJbaAX0UK9qXM0o9awTYC7i1HAca6+vUpPC+G4eCPCg+6d2Q6A==" saltValue="lliMmwGxOoekC2ZrT5x7QQ==" spinCount="100000" sheet="1" objects="1" scenarios="1"/>
  <protectedRanges>
    <protectedRange algorithmName="SHA-512" hashValue="HpDLP7rd7hqZZSlZniD8RUEU0R0e3+hbcvsGR9UqYzEWh9TDfN4sLiyBHh8614nQhIaUwaj4AlBOQYEZt27pUA==" saltValue="7E47+0Eux+df5pg+Ppb6pA==" spinCount="100000" sqref="B1:R1048576" name="Rango1"/>
  </protectedRanges>
  <mergeCells count="57">
    <mergeCell ref="B29:B30"/>
    <mergeCell ref="C29:C30"/>
    <mergeCell ref="D29:D30"/>
    <mergeCell ref="E29:E30"/>
    <mergeCell ref="H24:H25"/>
    <mergeCell ref="G29:J30"/>
    <mergeCell ref="J24:J25"/>
    <mergeCell ref="B27:B28"/>
    <mergeCell ref="C27:C28"/>
    <mergeCell ref="D27:D28"/>
    <mergeCell ref="E27:E28"/>
    <mergeCell ref="B23:B24"/>
    <mergeCell ref="C23:C24"/>
    <mergeCell ref="D23:D24"/>
    <mergeCell ref="E23:E24"/>
    <mergeCell ref="G24:G25"/>
    <mergeCell ref="G17:G18"/>
    <mergeCell ref="H17:H18"/>
    <mergeCell ref="B19:E20"/>
    <mergeCell ref="B9:E18"/>
    <mergeCell ref="G10:G11"/>
    <mergeCell ref="H10:H11"/>
    <mergeCell ref="I24:I25"/>
    <mergeCell ref="B21:B22"/>
    <mergeCell ref="C21:C22"/>
    <mergeCell ref="D21:D22"/>
    <mergeCell ref="E21:E22"/>
    <mergeCell ref="G21:G22"/>
    <mergeCell ref="E25:E26"/>
    <mergeCell ref="D25:D26"/>
    <mergeCell ref="I17:I18"/>
    <mergeCell ref="H21:H22"/>
    <mergeCell ref="I21:I22"/>
    <mergeCell ref="J13:J14"/>
    <mergeCell ref="G15:G16"/>
    <mergeCell ref="H15:H16"/>
    <mergeCell ref="I15:I16"/>
    <mergeCell ref="J15:J16"/>
    <mergeCell ref="G19:G20"/>
    <mergeCell ref="H19:H20"/>
    <mergeCell ref="I19:I20"/>
    <mergeCell ref="J19:J20"/>
    <mergeCell ref="J17:J18"/>
    <mergeCell ref="J21:J22"/>
    <mergeCell ref="G13:G14"/>
    <mergeCell ref="H13:H14"/>
    <mergeCell ref="I13:I14"/>
    <mergeCell ref="L6:R8"/>
    <mergeCell ref="G6:G8"/>
    <mergeCell ref="H6:H8"/>
    <mergeCell ref="I6:I8"/>
    <mergeCell ref="J6:J8"/>
    <mergeCell ref="G2:R4"/>
    <mergeCell ref="C2:E3"/>
    <mergeCell ref="B6:E8"/>
    <mergeCell ref="I10:I11"/>
    <mergeCell ref="J10:J11"/>
  </mergeCells>
  <printOptions horizontalCentered="1" verticalCentered="1"/>
  <pageMargins left="0.51181102362204722" right="0.51181102362204722" top="0" bottom="0" header="0.31496062992125984" footer="0.31496062992125984"/>
  <pageSetup scale="4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Imagina Ser 65</vt:lpstr>
      <vt:lpstr>Datos</vt:lpstr>
      <vt:lpstr>Mi Retiro</vt:lpstr>
      <vt:lpstr>'Imagina Ser 65'!Área_de_impresión</vt:lpstr>
      <vt:lpstr>'Mi Retiro'!Área_de_impresión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Lopez</dc:creator>
  <cp:lastModifiedBy>José Cerecedo</cp:lastModifiedBy>
  <cp:lastPrinted>2020-05-22T19:12:52Z</cp:lastPrinted>
  <dcterms:created xsi:type="dcterms:W3CDTF">2017-10-30T17:28:38Z</dcterms:created>
  <dcterms:modified xsi:type="dcterms:W3CDTF">2020-06-12T22:43:20Z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f8eab-07d6-4849-8b43-f2fe9ec60b55_Enabled">
    <vt:lpwstr>True</vt:lpwstr>
  </property>
  <property fmtid="{D5CDD505-2E9C-101B-9397-08002B2CF9AE}" pid="3" name="MSIP_Label_7def8eab-07d6-4849-8b43-f2fe9ec60b55_SiteId">
    <vt:lpwstr>75b2f54b-feff-400d-8e0b-67102edb9a23</vt:lpwstr>
  </property>
  <property fmtid="{D5CDD505-2E9C-101B-9397-08002B2CF9AE}" pid="4" name="MSIP_Label_7def8eab-07d6-4849-8b43-f2fe9ec60b55_Owner">
    <vt:lpwstr>kitzia.teran@signify.com</vt:lpwstr>
  </property>
  <property fmtid="{D5CDD505-2E9C-101B-9397-08002B2CF9AE}" pid="5" name="MSIP_Label_7def8eab-07d6-4849-8b43-f2fe9ec60b55_SetDate">
    <vt:lpwstr>2019-03-15T17:37:26.4200020Z</vt:lpwstr>
  </property>
  <property fmtid="{D5CDD505-2E9C-101B-9397-08002B2CF9AE}" pid="6" name="MSIP_Label_7def8eab-07d6-4849-8b43-f2fe9ec60b55_Name">
    <vt:lpwstr>Signify - Internal</vt:lpwstr>
  </property>
  <property fmtid="{D5CDD505-2E9C-101B-9397-08002B2CF9AE}" pid="7" name="MSIP_Label_7def8eab-07d6-4849-8b43-f2fe9ec60b55_Application">
    <vt:lpwstr>Microsoft Azure Information Protection</vt:lpwstr>
  </property>
  <property fmtid="{D5CDD505-2E9C-101B-9397-08002B2CF9AE}" pid="8" name="MSIP_Label_7def8eab-07d6-4849-8b43-f2fe9ec60b55_Extended_MSFT_Method">
    <vt:lpwstr>Automatic</vt:lpwstr>
  </property>
  <property fmtid="{D5CDD505-2E9C-101B-9397-08002B2CF9AE}" pid="9" name="Sensitivity">
    <vt:lpwstr>Signify - Internal</vt:lpwstr>
  </property>
</Properties>
</file>